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135"/>
  </bookViews>
  <sheets>
    <sheet name="COSTOS GENERALES" sheetId="2" r:id="rId1"/>
  </sheets>
  <definedNames>
    <definedName name="asda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2" l="1"/>
  <c r="D95" i="2"/>
  <c r="C95" i="2"/>
  <c r="E82" i="2"/>
  <c r="D82" i="2"/>
  <c r="C82" i="2"/>
  <c r="E92" i="2"/>
  <c r="D92" i="2"/>
  <c r="C92" i="2"/>
  <c r="C90" i="2"/>
  <c r="D90" i="2"/>
  <c r="E84" i="2"/>
  <c r="C84" i="2"/>
  <c r="D84" i="2"/>
  <c r="D94" i="2"/>
  <c r="D86" i="2"/>
  <c r="E86" i="2"/>
  <c r="C85" i="2"/>
  <c r="C94" i="2"/>
  <c r="E80" i="2"/>
  <c r="E77" i="2"/>
  <c r="D77" i="2"/>
  <c r="D78" i="2"/>
  <c r="E78" i="2"/>
  <c r="C77" i="2"/>
  <c r="C68" i="2"/>
  <c r="C66" i="2"/>
  <c r="C63" i="2"/>
  <c r="C57" i="2"/>
  <c r="H69" i="2"/>
  <c r="D57" i="2"/>
  <c r="H61" i="2"/>
  <c r="C55" i="2"/>
  <c r="C52" i="2" l="1"/>
  <c r="E46" i="2"/>
  <c r="D46" i="2"/>
  <c r="C46" i="2"/>
  <c r="E44" i="2"/>
  <c r="D44" i="2"/>
  <c r="C44" i="2"/>
  <c r="C38" i="2"/>
  <c r="F37" i="2"/>
  <c r="E37" i="2"/>
  <c r="D37" i="2"/>
  <c r="C37" i="2"/>
  <c r="D36" i="2"/>
  <c r="C36" i="2"/>
  <c r="C34" i="2"/>
  <c r="E35" i="2"/>
  <c r="D35" i="2"/>
  <c r="C35" i="2"/>
  <c r="D27" i="2"/>
  <c r="E27" i="2"/>
  <c r="D28" i="2"/>
  <c r="C28" i="2"/>
  <c r="E25" i="2"/>
  <c r="D25" i="2"/>
  <c r="C25" i="2"/>
  <c r="I17" i="2"/>
  <c r="H18" i="2"/>
  <c r="H19" i="2"/>
  <c r="H17" i="2"/>
  <c r="I18" i="2"/>
  <c r="I19" i="2"/>
  <c r="D52" i="2" l="1"/>
  <c r="D59" i="2" s="1"/>
  <c r="D65" i="2" s="1"/>
  <c r="E52" i="2"/>
  <c r="E57" i="2" s="1"/>
  <c r="E59" i="2" s="1"/>
  <c r="E65" i="2" s="1"/>
  <c r="C59" i="2"/>
  <c r="C65" i="2" s="1"/>
  <c r="E55" i="2" l="1"/>
  <c r="E64" i="2" s="1"/>
  <c r="D55" i="2"/>
  <c r="D64" i="2" s="1"/>
  <c r="C64" i="2"/>
  <c r="D80" i="2"/>
  <c r="C80" i="2"/>
  <c r="E87" i="2"/>
  <c r="D87" i="2"/>
  <c r="C87" i="2"/>
  <c r="D45" i="2" l="1"/>
  <c r="D63" i="2" s="1"/>
  <c r="D66" i="2" s="1"/>
  <c r="D68" i="2" s="1"/>
  <c r="E45" i="2"/>
  <c r="E63" i="2" s="1"/>
  <c r="E66" i="2" s="1"/>
  <c r="E68" i="2" s="1"/>
  <c r="C45" i="2"/>
  <c r="F36" i="2"/>
  <c r="F38" i="2" s="1"/>
  <c r="F39" i="2" s="1"/>
  <c r="E88" i="2" l="1"/>
  <c r="C88" i="2"/>
  <c r="D34" i="2"/>
  <c r="E28" i="2"/>
  <c r="E34" i="2" s="1"/>
  <c r="I20" i="2" l="1"/>
  <c r="D88" i="2"/>
  <c r="E90" i="2" l="1"/>
  <c r="E36" i="2"/>
  <c r="E38" i="2" s="1"/>
  <c r="E39" i="2" s="1"/>
  <c r="D38" i="2"/>
  <c r="D39" i="2" s="1"/>
  <c r="C39" i="2"/>
  <c r="C96" i="2" l="1"/>
  <c r="E94" i="2" l="1"/>
  <c r="E96" i="2" s="1"/>
  <c r="D96" i="2"/>
</calcChain>
</file>

<file path=xl/comments1.xml><?xml version="1.0" encoding="utf-8"?>
<comments xmlns="http://schemas.openxmlformats.org/spreadsheetml/2006/main">
  <authors>
    <author>sala4</author>
  </authors>
  <commentList>
    <comment ref="C36" authorId="0">
      <text>
        <r>
          <rPr>
            <sz val="9"/>
            <color indexed="81"/>
            <rFont val="Tahoma"/>
            <family val="2"/>
          </rPr>
          <t xml:space="preserve">EL 45% DE ENERO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sala4:</t>
        </r>
        <r>
          <rPr>
            <sz val="9"/>
            <color indexed="81"/>
            <rFont val="Tahoma"/>
            <family val="2"/>
          </rPr>
          <t xml:space="preserve">
UNA COSA ES LO QUE SE VA A PRODUCCIR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 xml:space="preserve">UNIDADES A PRODUCIR
</t>
        </r>
      </text>
    </comment>
  </commentList>
</comments>
</file>

<file path=xl/sharedStrings.xml><?xml version="1.0" encoding="utf-8"?>
<sst xmlns="http://schemas.openxmlformats.org/spreadsheetml/2006/main" count="105" uniqueCount="88">
  <si>
    <t>UNIDADES VENDIDAS</t>
  </si>
  <si>
    <t xml:space="preserve">MES </t>
  </si>
  <si>
    <t xml:space="preserve">ENERO </t>
  </si>
  <si>
    <t>FEBRERO</t>
  </si>
  <si>
    <t xml:space="preserve"> MARZO </t>
  </si>
  <si>
    <t xml:space="preserve">PRECIO TOTAL VENTAS </t>
  </si>
  <si>
    <t xml:space="preserve">PRESUPUESTO VENTAS </t>
  </si>
  <si>
    <t xml:space="preserve">PRESUPUESTO PRODUCCIÓN </t>
  </si>
  <si>
    <t xml:space="preserve">ATENDER VENTAS </t>
  </si>
  <si>
    <t xml:space="preserve">FEBRERO </t>
  </si>
  <si>
    <t xml:space="preserve">MARZO </t>
  </si>
  <si>
    <t xml:space="preserve">TOTAL PRODUCCIÓN </t>
  </si>
  <si>
    <t>INVENTARIO FINAL +</t>
  </si>
  <si>
    <t>INVENTARIO INICIAL -</t>
  </si>
  <si>
    <t xml:space="preserve">PRESUPUESTO DE COMPRA DE MATERIALES DIRECTOS </t>
  </si>
  <si>
    <t xml:space="preserve">PARA ATENDER LAS UNIDADES A PRODUCIR </t>
  </si>
  <si>
    <t xml:space="preserve">ABRIL </t>
  </si>
  <si>
    <t xml:space="preserve">UNIDADES DE PRODUCCIÓN A COMPRAR </t>
  </si>
  <si>
    <t>INVENTARIO INICIAL MATERIALES -</t>
  </si>
  <si>
    <t xml:space="preserve">UNIDADES A COMPRAR </t>
  </si>
  <si>
    <t>COTOS TOTALES</t>
  </si>
  <si>
    <t>CONSUMO DE MATERIALES DIRECTOS</t>
  </si>
  <si>
    <t>PRESUPUESTO DE CAJA</t>
  </si>
  <si>
    <t>TOTAL PRODUCCION</t>
  </si>
  <si>
    <t>ENERO</t>
  </si>
  <si>
    <t>MARZO</t>
  </si>
  <si>
    <t xml:space="preserve">INGRESOS CAJA </t>
  </si>
  <si>
    <t>RECUPERACION DE CARTERA 30 DÍAS DESPUES</t>
  </si>
  <si>
    <t>TOTAL INGRESOS A LA CAJA</t>
  </si>
  <si>
    <t>EGRESOS DE CAJA</t>
  </si>
  <si>
    <t>COSTOS INDIRECTOS DE FABRICACIÓN (25%)</t>
  </si>
  <si>
    <t xml:space="preserve">GASTO  DE VENTAS </t>
  </si>
  <si>
    <t>Presupuesto de ventas</t>
  </si>
  <si>
    <t>GASTOS DE ADMINISTRACION</t>
  </si>
  <si>
    <t>SALDO FINAL DE CAJA SIN AJUSTAR</t>
  </si>
  <si>
    <t>PAGO DE IMPUESTOS</t>
  </si>
  <si>
    <t>INVERSIÓN CDT</t>
  </si>
  <si>
    <t>UNIDADES A CONSUMIR  (1,25)</t>
  </si>
  <si>
    <t>SALDO INICIAL CAJA</t>
  </si>
  <si>
    <t>PRESUPUESTO DE MANO DE OBRA DIRECTO</t>
  </si>
  <si>
    <t>UNIDADES PRODUCIDAS</t>
  </si>
  <si>
    <t>HORAS POR UND</t>
  </si>
  <si>
    <t xml:space="preserve">COSTO POR HORA </t>
  </si>
  <si>
    <t>PRESUPUESTO MANO OBRA DIRECTA</t>
  </si>
  <si>
    <t>COSTO INDIRECTO FABRICACION</t>
  </si>
  <si>
    <t>VALOR FIJO</t>
  </si>
  <si>
    <t>COSTOS TOTALES</t>
  </si>
  <si>
    <t>PRESUPUESTO DE COSTO DE ARTICULOS VENDIDOS</t>
  </si>
  <si>
    <t>CONSUMO MATERIALES DIRECTOS</t>
  </si>
  <si>
    <t>MANO DE OBRA DIRECTA</t>
  </si>
  <si>
    <t>COSTOS INDIRECTOS DE FABRICACION</t>
  </si>
  <si>
    <t>COSTOS DE MANUFACTURA (EN EL PROCESO)</t>
  </si>
  <si>
    <t>INVENTARIO PRODUCTOS EN PROCESO</t>
  </si>
  <si>
    <t>COSTOS TOTAL DE PRODUCCION EN PROCESO</t>
  </si>
  <si>
    <t>COSTOS</t>
  </si>
  <si>
    <t xml:space="preserve">PRECIOS DE VENTAS </t>
  </si>
  <si>
    <t>PRODUCTO</t>
  </si>
  <si>
    <t>PRECIO</t>
  </si>
  <si>
    <t>POLIPROPILENO</t>
  </si>
  <si>
    <t>VIDRIO</t>
  </si>
  <si>
    <t>PLASTICO</t>
  </si>
  <si>
    <t>PAPEL</t>
  </si>
  <si>
    <t>POLIPROPILENO (Kg)</t>
  </si>
  <si>
    <t>VIDRIO (Kg)</t>
  </si>
  <si>
    <t>PLASTICO (Kg)</t>
  </si>
  <si>
    <t>PAPEL (Kg)</t>
  </si>
  <si>
    <t>OTROS</t>
  </si>
  <si>
    <t>OTROS (Kg)</t>
  </si>
  <si>
    <t>Suma de productos</t>
  </si>
  <si>
    <t xml:space="preserve"> PARA ATENDER EL INVENTARIO FINAL DE MATERIALES 15 % +</t>
  </si>
  <si>
    <t>COSTO DE PRODUCCIR MATERIALES DIRECTOS ($23)</t>
  </si>
  <si>
    <t>Costos IndIrectos De Fabricacion</t>
  </si>
  <si>
    <t>Mano de obra directa</t>
  </si>
  <si>
    <t>Impuestos sobre nomina</t>
  </si>
  <si>
    <t>Mantenimiento</t>
  </si>
  <si>
    <t>luz</t>
  </si>
  <si>
    <t>Energia</t>
  </si>
  <si>
    <t>Varios</t>
  </si>
  <si>
    <t>Materiales</t>
  </si>
  <si>
    <t>TOTAL</t>
  </si>
  <si>
    <t>Salario Fijo</t>
  </si>
  <si>
    <t>Salario Cubiculos</t>
  </si>
  <si>
    <t>Impuestos</t>
  </si>
  <si>
    <t>Seguros</t>
  </si>
  <si>
    <t>Materiales Directos</t>
  </si>
  <si>
    <t>VENTAS 80% EN EFECTIVO</t>
  </si>
  <si>
    <t>MANO DE OBRA DIRECTA  (30%)EN ENERO</t>
  </si>
  <si>
    <t>COMPRA DE MATERIALES ( 0,5%)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</si>
</sst>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1" xfId="0" applyNumberFormat="1" applyBorder="1" applyAlignment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/>
    <xf numFmtId="0" fontId="0" fillId="0" borderId="0" xfId="0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5" fontId="0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2" applyNumberFormat="1" applyFont="1" applyBorder="1"/>
    <xf numFmtId="165" fontId="0" fillId="0" borderId="1" xfId="0" applyNumberFormat="1" applyBorder="1"/>
    <xf numFmtId="0" fontId="0" fillId="0" borderId="0" xfId="0" applyFill="1" applyBorder="1"/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1" xfId="0" applyFill="1" applyBorder="1"/>
    <xf numFmtId="165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/>
    <xf numFmtId="165" fontId="0" fillId="0" borderId="6" xfId="2" applyNumberFormat="1" applyFon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0" fontId="0" fillId="6" borderId="5" xfId="0" applyFill="1" applyBorder="1"/>
    <xf numFmtId="165" fontId="0" fillId="0" borderId="0" xfId="0" applyNumberFormat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7" borderId="5" xfId="0" applyFill="1" applyBorder="1"/>
    <xf numFmtId="165" fontId="0" fillId="7" borderId="6" xfId="2" applyNumberFormat="1" applyFont="1" applyFill="1" applyBorder="1" applyAlignment="1">
      <alignment horizontal="center"/>
    </xf>
    <xf numFmtId="0" fontId="0" fillId="8" borderId="5" xfId="0" applyFill="1" applyBorder="1"/>
    <xf numFmtId="165" fontId="0" fillId="8" borderId="6" xfId="2" applyNumberFormat="1" applyFont="1" applyFill="1" applyBorder="1" applyAlignment="1">
      <alignment horizontal="center"/>
    </xf>
    <xf numFmtId="165" fontId="0" fillId="8" borderId="7" xfId="2" applyNumberFormat="1" applyFont="1" applyFill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165" fontId="2" fillId="0" borderId="0" xfId="0" applyNumberFormat="1" applyFont="1" applyAlignment="1">
      <alignment horizontal="center"/>
    </xf>
    <xf numFmtId="4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9" borderId="0" xfId="0" applyFont="1" applyFill="1" applyAlignment="1">
      <alignment horizontal="center" wrapText="1"/>
    </xf>
    <xf numFmtId="0" fontId="2" fillId="6" borderId="0" xfId="0" applyFont="1" applyFill="1"/>
    <xf numFmtId="0" fontId="2" fillId="12" borderId="0" xfId="0" applyFont="1" applyFill="1"/>
    <xf numFmtId="0" fontId="2" fillId="11" borderId="0" xfId="0" applyFont="1" applyFill="1"/>
    <xf numFmtId="0" fontId="2" fillId="10" borderId="0" xfId="0" applyFont="1" applyFill="1" applyAlignment="1">
      <alignment horizontal="left"/>
    </xf>
    <xf numFmtId="0" fontId="2" fillId="13" borderId="0" xfId="0" applyFont="1" applyFill="1" applyAlignment="1">
      <alignment horizontal="center" wrapText="1"/>
    </xf>
    <xf numFmtId="0" fontId="2" fillId="13" borderId="15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11" borderId="0" xfId="0" applyFont="1" applyFill="1" applyAlignment="1">
      <alignment horizontal="center"/>
    </xf>
    <xf numFmtId="44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165" fontId="2" fillId="0" borderId="1" xfId="2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6"/>
  <sheetViews>
    <sheetView showGridLines="0" tabSelected="1" zoomScale="110" zoomScaleNormal="110" workbookViewId="0">
      <selection activeCell="F7" sqref="F7"/>
    </sheetView>
  </sheetViews>
  <sheetFormatPr baseColWidth="10" defaultRowHeight="15" x14ac:dyDescent="0.25"/>
  <cols>
    <col min="1" max="1" width="8.28515625" customWidth="1"/>
    <col min="2" max="2" width="36.85546875" customWidth="1"/>
    <col min="3" max="3" width="19.28515625" style="5" bestFit="1" customWidth="1"/>
    <col min="4" max="5" width="15.5703125" style="5" bestFit="1" customWidth="1"/>
    <col min="6" max="6" width="11.42578125" style="5"/>
    <col min="7" max="7" width="23.140625" style="5" bestFit="1" customWidth="1"/>
    <col min="8" max="8" width="14.140625" style="64" bestFit="1" customWidth="1"/>
    <col min="9" max="9" width="21.42578125" style="5" bestFit="1" customWidth="1"/>
    <col min="10" max="10" width="21.5703125" style="5" bestFit="1" customWidth="1"/>
  </cols>
  <sheetData>
    <row r="2" spans="2:10" x14ac:dyDescent="0.25">
      <c r="B2" s="83" t="s">
        <v>54</v>
      </c>
      <c r="C2" s="83"/>
      <c r="D2" s="83"/>
      <c r="E2" s="83"/>
      <c r="F2" s="83"/>
    </row>
    <row r="3" spans="2:10" x14ac:dyDescent="0.25">
      <c r="B3" s="83"/>
      <c r="C3" s="83"/>
      <c r="D3" s="83"/>
      <c r="E3" s="83"/>
      <c r="F3" s="83"/>
    </row>
    <row r="5" spans="2:10" x14ac:dyDescent="0.25">
      <c r="B5" s="88" t="s">
        <v>6</v>
      </c>
    </row>
    <row r="6" spans="2:10" x14ac:dyDescent="0.25">
      <c r="B6" s="84" t="s">
        <v>55</v>
      </c>
      <c r="C6" s="84"/>
    </row>
    <row r="7" spans="2:10" x14ac:dyDescent="0.25">
      <c r="B7" s="74" t="s">
        <v>56</v>
      </c>
      <c r="C7" s="74" t="s">
        <v>57</v>
      </c>
      <c r="D7" s="64"/>
      <c r="E7" s="64"/>
      <c r="F7" s="64"/>
      <c r="G7" s="64"/>
      <c r="I7" s="64"/>
      <c r="J7" s="64"/>
    </row>
    <row r="8" spans="2:10" x14ac:dyDescent="0.25">
      <c r="B8" s="4" t="s">
        <v>58</v>
      </c>
      <c r="C8" s="36">
        <v>180</v>
      </c>
    </row>
    <row r="9" spans="2:10" x14ac:dyDescent="0.25">
      <c r="B9" s="4" t="s">
        <v>59</v>
      </c>
      <c r="C9" s="36">
        <v>350</v>
      </c>
      <c r="D9" s="64"/>
      <c r="E9" s="64"/>
      <c r="F9" s="64"/>
      <c r="G9" s="64"/>
      <c r="I9" s="64"/>
      <c r="J9" s="64"/>
    </row>
    <row r="10" spans="2:10" x14ac:dyDescent="0.25">
      <c r="B10" s="4" t="s">
        <v>60</v>
      </c>
      <c r="C10" s="36">
        <v>260</v>
      </c>
      <c r="D10" s="64"/>
      <c r="E10" s="64"/>
      <c r="F10" s="64"/>
      <c r="G10" s="64"/>
      <c r="I10" s="64"/>
      <c r="J10" s="64"/>
    </row>
    <row r="11" spans="2:10" x14ac:dyDescent="0.25">
      <c r="B11" s="7" t="s">
        <v>61</v>
      </c>
      <c r="C11" s="36">
        <v>540</v>
      </c>
      <c r="D11" s="64"/>
      <c r="E11" s="64"/>
      <c r="F11" s="64"/>
      <c r="G11" s="64"/>
      <c r="I11" s="64"/>
      <c r="J11" s="64"/>
    </row>
    <row r="12" spans="2:10" x14ac:dyDescent="0.25">
      <c r="B12" s="7" t="s">
        <v>66</v>
      </c>
      <c r="C12" s="36">
        <v>300</v>
      </c>
      <c r="D12" s="64"/>
      <c r="E12" s="64"/>
      <c r="F12" s="64"/>
      <c r="G12" s="64"/>
      <c r="I12" s="64"/>
      <c r="J12" s="64"/>
    </row>
    <row r="13" spans="2:10" x14ac:dyDescent="0.25">
      <c r="B13" s="2"/>
      <c r="C13" s="10"/>
      <c r="D13" s="64"/>
      <c r="E13" s="64"/>
      <c r="F13" s="64"/>
      <c r="G13" s="64"/>
      <c r="I13" s="64"/>
      <c r="J13" s="64"/>
    </row>
    <row r="15" spans="2:10" x14ac:dyDescent="0.25">
      <c r="B15" s="86" t="s">
        <v>0</v>
      </c>
    </row>
    <row r="16" spans="2:10" ht="30" x14ac:dyDescent="0.25">
      <c r="B16" s="74" t="s">
        <v>1</v>
      </c>
      <c r="C16" s="74" t="s">
        <v>62</v>
      </c>
      <c r="D16" s="74" t="s">
        <v>63</v>
      </c>
      <c r="E16" s="74" t="s">
        <v>64</v>
      </c>
      <c r="F16" s="75" t="s">
        <v>65</v>
      </c>
      <c r="G16" s="74" t="s">
        <v>67</v>
      </c>
      <c r="H16" s="77" t="s">
        <v>68</v>
      </c>
      <c r="I16" s="75" t="s">
        <v>5</v>
      </c>
    </row>
    <row r="17" spans="2:9" x14ac:dyDescent="0.25">
      <c r="B17" s="4" t="s">
        <v>2</v>
      </c>
      <c r="C17" s="67">
        <v>3500</v>
      </c>
      <c r="D17" s="67">
        <v>5000</v>
      </c>
      <c r="E17" s="67">
        <v>6500</v>
      </c>
      <c r="F17" s="67">
        <v>13000</v>
      </c>
      <c r="G17" s="67">
        <v>3000</v>
      </c>
      <c r="H17" s="67">
        <f>SUM(C17:G17)</f>
        <v>31000</v>
      </c>
      <c r="I17" s="9">
        <f>C17*$C$8+D17*$C$9+E17*$C$10+F17*$C$11+G17*$C$12</f>
        <v>11990000</v>
      </c>
    </row>
    <row r="18" spans="2:9" x14ac:dyDescent="0.25">
      <c r="B18" s="4" t="s">
        <v>3</v>
      </c>
      <c r="C18" s="67">
        <v>5500</v>
      </c>
      <c r="D18" s="67">
        <v>7000</v>
      </c>
      <c r="E18" s="67">
        <v>8000</v>
      </c>
      <c r="F18" s="67">
        <v>18000</v>
      </c>
      <c r="G18" s="67">
        <v>5000</v>
      </c>
      <c r="H18" s="67">
        <f t="shared" ref="H18:H19" si="0">SUM(C18:G18)</f>
        <v>43500</v>
      </c>
      <c r="I18" s="9">
        <f t="shared" ref="I18:I19" si="1">C18*$C$8+D18*$C$9+E18*$C$10+F18*$C$11+G18*$C$12</f>
        <v>16740000</v>
      </c>
    </row>
    <row r="19" spans="2:9" x14ac:dyDescent="0.25">
      <c r="B19" s="4" t="s">
        <v>4</v>
      </c>
      <c r="C19" s="67">
        <v>8000</v>
      </c>
      <c r="D19" s="67">
        <v>9000</v>
      </c>
      <c r="E19" s="67">
        <v>9500</v>
      </c>
      <c r="F19" s="67">
        <v>20000</v>
      </c>
      <c r="G19" s="67">
        <v>7000</v>
      </c>
      <c r="H19" s="67">
        <f t="shared" si="0"/>
        <v>53500</v>
      </c>
      <c r="I19" s="9">
        <f t="shared" si="1"/>
        <v>19960000</v>
      </c>
    </row>
    <row r="20" spans="2:9" x14ac:dyDescent="0.25">
      <c r="B20" s="2"/>
      <c r="C20" s="10"/>
      <c r="D20" s="10"/>
      <c r="E20" s="10"/>
      <c r="F20" s="10"/>
      <c r="I20" s="11">
        <f>SUM(I17:I19)</f>
        <v>48690000</v>
      </c>
    </row>
    <row r="21" spans="2:9" x14ac:dyDescent="0.25">
      <c r="C21" s="12"/>
      <c r="D21" s="12"/>
      <c r="E21" s="12"/>
      <c r="F21" s="12"/>
      <c r="G21" s="10"/>
      <c r="H21" s="10"/>
    </row>
    <row r="22" spans="2:9" x14ac:dyDescent="0.25">
      <c r="B22" s="87" t="s">
        <v>7</v>
      </c>
      <c r="C22" s="6"/>
      <c r="D22" s="6"/>
      <c r="E22" s="6"/>
    </row>
    <row r="23" spans="2:9" x14ac:dyDescent="0.25">
      <c r="C23" s="6"/>
      <c r="D23" s="6"/>
      <c r="E23" s="6"/>
      <c r="F23" s="10"/>
    </row>
    <row r="24" spans="2:9" x14ac:dyDescent="0.25">
      <c r="C24" s="4" t="s">
        <v>2</v>
      </c>
      <c r="D24" s="4" t="s">
        <v>9</v>
      </c>
      <c r="E24" s="4" t="s">
        <v>10</v>
      </c>
      <c r="F24" s="10"/>
    </row>
    <row r="25" spans="2:9" x14ac:dyDescent="0.25">
      <c r="B25" s="15" t="s">
        <v>8</v>
      </c>
      <c r="C25" s="76">
        <f>H17</f>
        <v>31000</v>
      </c>
      <c r="D25" s="76">
        <f>H18</f>
        <v>43500</v>
      </c>
      <c r="E25" s="76">
        <f>H19</f>
        <v>53500</v>
      </c>
      <c r="F25" s="32"/>
    </row>
    <row r="26" spans="2:9" x14ac:dyDescent="0.25">
      <c r="B26" s="15" t="s">
        <v>12</v>
      </c>
      <c r="C26" s="76">
        <v>14000</v>
      </c>
      <c r="D26" s="76">
        <v>8600</v>
      </c>
      <c r="E26" s="76">
        <v>7400</v>
      </c>
      <c r="F26" s="33"/>
    </row>
    <row r="27" spans="2:9" x14ac:dyDescent="0.25">
      <c r="B27" s="15" t="s">
        <v>13</v>
      </c>
      <c r="C27" s="76">
        <v>0</v>
      </c>
      <c r="D27" s="76">
        <f>C26</f>
        <v>14000</v>
      </c>
      <c r="E27" s="76">
        <f>D26</f>
        <v>8600</v>
      </c>
      <c r="F27" s="33"/>
    </row>
    <row r="28" spans="2:9" x14ac:dyDescent="0.25">
      <c r="B28" s="17" t="s">
        <v>11</v>
      </c>
      <c r="C28" s="16">
        <f>(C25+C26)-C27</f>
        <v>45000</v>
      </c>
      <c r="D28" s="16">
        <f>(D25+D26)-D27</f>
        <v>38100</v>
      </c>
      <c r="E28" s="16">
        <f t="shared" ref="E28" si="2">(E25+E26)-E27</f>
        <v>52300</v>
      </c>
      <c r="F28" s="33"/>
    </row>
    <row r="31" spans="2:9" x14ac:dyDescent="0.25">
      <c r="B31" s="85" t="s">
        <v>14</v>
      </c>
    </row>
    <row r="32" spans="2:9" x14ac:dyDescent="0.25">
      <c r="B32" s="85"/>
    </row>
    <row r="33" spans="1:10" x14ac:dyDescent="0.25">
      <c r="C33" s="74" t="s">
        <v>2</v>
      </c>
      <c r="D33" s="74" t="s">
        <v>9</v>
      </c>
      <c r="E33" s="74" t="s">
        <v>10</v>
      </c>
      <c r="F33" s="74" t="s">
        <v>16</v>
      </c>
    </row>
    <row r="34" spans="1:10" s="20" customFormat="1" ht="30" x14ac:dyDescent="0.25">
      <c r="B34" s="22" t="s">
        <v>15</v>
      </c>
      <c r="C34" s="25">
        <f>C28</f>
        <v>45000</v>
      </c>
      <c r="D34" s="26">
        <f>D28</f>
        <v>38100</v>
      </c>
      <c r="E34" s="28">
        <f>E28</f>
        <v>52300</v>
      </c>
      <c r="F34" s="30">
        <v>55800</v>
      </c>
    </row>
    <row r="35" spans="1:10" ht="30" x14ac:dyDescent="0.25">
      <c r="B35" s="23" t="s">
        <v>69</v>
      </c>
      <c r="C35" s="27">
        <f>D34*0.15</f>
        <v>5715</v>
      </c>
      <c r="D35" s="29">
        <f>E34*0.15</f>
        <v>7845</v>
      </c>
      <c r="E35" s="31">
        <f>F34*0.15</f>
        <v>8370</v>
      </c>
      <c r="F35" s="24"/>
    </row>
    <row r="36" spans="1:10" x14ac:dyDescent="0.25">
      <c r="B36" s="19" t="s">
        <v>18</v>
      </c>
      <c r="C36" s="21">
        <f>C34*0.24</f>
        <v>10800</v>
      </c>
      <c r="D36" s="21">
        <f>C35</f>
        <v>5715</v>
      </c>
      <c r="E36" s="21">
        <f>D35</f>
        <v>7845</v>
      </c>
      <c r="F36" s="21">
        <f>E35</f>
        <v>8370</v>
      </c>
    </row>
    <row r="37" spans="1:10" ht="30" x14ac:dyDescent="0.25">
      <c r="A37" s="82"/>
      <c r="B37" s="19" t="s">
        <v>17</v>
      </c>
      <c r="C37" s="34">
        <f>((C34+C35)-C36)</f>
        <v>39915</v>
      </c>
      <c r="D37" s="34">
        <f>((D34+D35)-D36)</f>
        <v>40230</v>
      </c>
      <c r="E37" s="34">
        <f>((E34+E35)-E36)</f>
        <v>52825</v>
      </c>
      <c r="F37" s="34">
        <f>((F34+F35)-F36)</f>
        <v>47430</v>
      </c>
    </row>
    <row r="38" spans="1:10" x14ac:dyDescent="0.25">
      <c r="A38" s="82"/>
      <c r="B38" s="35" t="s">
        <v>19</v>
      </c>
      <c r="C38" s="13">
        <f>C37*1.25</f>
        <v>49893.75</v>
      </c>
      <c r="D38" s="13">
        <f t="shared" ref="D38:F38" si="3">D37*1.25</f>
        <v>50287.5</v>
      </c>
      <c r="E38" s="13">
        <f t="shared" si="3"/>
        <v>66031.25</v>
      </c>
      <c r="F38" s="13">
        <f t="shared" si="3"/>
        <v>59287.5</v>
      </c>
    </row>
    <row r="39" spans="1:10" x14ac:dyDescent="0.25">
      <c r="B39" s="35" t="s">
        <v>20</v>
      </c>
      <c r="C39" s="13">
        <f>C38*58</f>
        <v>2893837.5</v>
      </c>
      <c r="D39" s="13">
        <f t="shared" ref="D39:F39" si="4">D38*58</f>
        <v>2916675</v>
      </c>
      <c r="E39" s="13">
        <f t="shared" si="4"/>
        <v>3829812.5</v>
      </c>
      <c r="F39" s="13">
        <f t="shared" si="4"/>
        <v>3438675</v>
      </c>
    </row>
    <row r="40" spans="1:10" x14ac:dyDescent="0.25">
      <c r="A40" s="5"/>
      <c r="B40" s="5"/>
    </row>
    <row r="41" spans="1:10" x14ac:dyDescent="0.25">
      <c r="A41" s="5"/>
      <c r="B41" s="89" t="s">
        <v>21</v>
      </c>
      <c r="C41" s="89"/>
      <c r="D41" s="89"/>
    </row>
    <row r="42" spans="1:10" x14ac:dyDescent="0.25">
      <c r="A42" s="5"/>
      <c r="B42" s="5"/>
    </row>
    <row r="43" spans="1:10" x14ac:dyDescent="0.25">
      <c r="C43" s="78" t="s">
        <v>2</v>
      </c>
      <c r="D43" s="78" t="s">
        <v>9</v>
      </c>
      <c r="E43" s="78" t="s">
        <v>10</v>
      </c>
    </row>
    <row r="44" spans="1:10" x14ac:dyDescent="0.25">
      <c r="B44" s="3" t="s">
        <v>11</v>
      </c>
      <c r="C44" s="8">
        <f>H17</f>
        <v>31000</v>
      </c>
      <c r="D44" s="8">
        <f>H18</f>
        <v>43500</v>
      </c>
      <c r="E44" s="8">
        <f>H19</f>
        <v>53500</v>
      </c>
    </row>
    <row r="45" spans="1:10" x14ac:dyDescent="0.25">
      <c r="B45" s="18" t="s">
        <v>37</v>
      </c>
      <c r="C45" s="8">
        <f>+C44*1.25</f>
        <v>38750</v>
      </c>
      <c r="D45" s="8">
        <f t="shared" ref="D45:E45" si="5">+D44*1.25</f>
        <v>54375</v>
      </c>
      <c r="E45" s="8">
        <f t="shared" si="5"/>
        <v>66875</v>
      </c>
    </row>
    <row r="46" spans="1:10" ht="30" x14ac:dyDescent="0.25">
      <c r="B46" s="19" t="s">
        <v>70</v>
      </c>
      <c r="C46" s="36">
        <f>+C45*23</f>
        <v>891250</v>
      </c>
      <c r="D46" s="36">
        <f>+D45*23</f>
        <v>1250625</v>
      </c>
      <c r="E46" s="36">
        <f>+E45*23</f>
        <v>1538125</v>
      </c>
    </row>
    <row r="47" spans="1:10" x14ac:dyDescent="0.25">
      <c r="G47" s="79"/>
    </row>
    <row r="48" spans="1:10" x14ac:dyDescent="0.25">
      <c r="B48" s="90" t="s">
        <v>39</v>
      </c>
      <c r="C48" s="37"/>
      <c r="D48" s="37"/>
      <c r="E48" s="37"/>
      <c r="F48" s="37"/>
      <c r="G48" s="37"/>
      <c r="I48" s="37"/>
      <c r="J48" s="37"/>
    </row>
    <row r="49" spans="2:10" x14ac:dyDescent="0.25">
      <c r="B49" s="91"/>
      <c r="C49" s="78" t="s">
        <v>2</v>
      </c>
      <c r="D49" s="78" t="s">
        <v>9</v>
      </c>
      <c r="E49" s="78" t="s">
        <v>10</v>
      </c>
      <c r="F49" s="37"/>
      <c r="G49" s="37"/>
      <c r="I49" s="37"/>
      <c r="J49" s="37"/>
    </row>
    <row r="50" spans="2:10" x14ac:dyDescent="0.25">
      <c r="B50" s="3" t="s">
        <v>40</v>
      </c>
      <c r="C50" s="67">
        <v>31000</v>
      </c>
      <c r="D50" s="67">
        <v>43500</v>
      </c>
      <c r="E50" s="67">
        <v>53500</v>
      </c>
      <c r="F50" s="37"/>
      <c r="G50" s="37"/>
      <c r="I50" s="37"/>
      <c r="J50" s="37"/>
    </row>
    <row r="51" spans="2:10" x14ac:dyDescent="0.25">
      <c r="B51" s="3" t="s">
        <v>41</v>
      </c>
      <c r="C51" s="24">
        <v>0.15</v>
      </c>
      <c r="D51" s="24">
        <v>0.19</v>
      </c>
      <c r="E51" s="24">
        <v>0.21</v>
      </c>
      <c r="F51" s="37"/>
      <c r="G51" s="37"/>
      <c r="I51" s="37"/>
      <c r="J51" s="37"/>
    </row>
    <row r="52" spans="2:10" x14ac:dyDescent="0.25">
      <c r="C52" s="66">
        <f>C50*C51</f>
        <v>4650</v>
      </c>
      <c r="D52" s="66">
        <f t="shared" ref="D52:E52" si="6">D50*D51</f>
        <v>8265</v>
      </c>
      <c r="E52" s="66">
        <f t="shared" si="6"/>
        <v>11235</v>
      </c>
      <c r="F52" s="37"/>
      <c r="G52" s="37"/>
      <c r="I52" s="37"/>
      <c r="J52" s="37"/>
    </row>
    <row r="53" spans="2:10" x14ac:dyDescent="0.25">
      <c r="C53" s="37"/>
      <c r="D53" s="37"/>
      <c r="E53" s="37"/>
      <c r="F53" s="37"/>
      <c r="G53" s="94" t="s">
        <v>71</v>
      </c>
      <c r="H53" s="94"/>
      <c r="I53" s="92"/>
      <c r="J53" s="37"/>
    </row>
    <row r="54" spans="2:10" x14ac:dyDescent="0.25">
      <c r="B54" t="s">
        <v>42</v>
      </c>
      <c r="C54" s="80">
        <v>2.4</v>
      </c>
      <c r="D54" s="80">
        <v>2.4</v>
      </c>
      <c r="E54" s="80">
        <v>2.4</v>
      </c>
      <c r="F54" s="37"/>
      <c r="G54" s="93" t="s">
        <v>72</v>
      </c>
      <c r="H54" s="95">
        <v>1.2</v>
      </c>
      <c r="I54" s="37"/>
      <c r="J54" s="37"/>
    </row>
    <row r="55" spans="2:10" x14ac:dyDescent="0.25">
      <c r="B55" t="s">
        <v>43</v>
      </c>
      <c r="C55" s="69">
        <f>C52*C54</f>
        <v>11160</v>
      </c>
      <c r="D55" s="69">
        <f t="shared" ref="D55:E55" si="7">D52*D54</f>
        <v>19836</v>
      </c>
      <c r="E55" s="69">
        <f t="shared" si="7"/>
        <v>26964</v>
      </c>
      <c r="F55" s="37"/>
      <c r="G55" s="93" t="s">
        <v>73</v>
      </c>
      <c r="H55" s="95">
        <v>0.34</v>
      </c>
      <c r="I55" s="37"/>
      <c r="J55" s="37"/>
    </row>
    <row r="56" spans="2:10" x14ac:dyDescent="0.25">
      <c r="C56" s="37"/>
      <c r="D56" s="37"/>
      <c r="E56" s="37"/>
      <c r="F56" s="37"/>
      <c r="G56" s="93" t="s">
        <v>74</v>
      </c>
      <c r="H56" s="95">
        <v>0.24</v>
      </c>
      <c r="I56" s="37"/>
      <c r="J56" s="37"/>
    </row>
    <row r="57" spans="2:10" x14ac:dyDescent="0.25">
      <c r="B57" t="s">
        <v>44</v>
      </c>
      <c r="C57" s="65">
        <f>7.27*C52</f>
        <v>33805.5</v>
      </c>
      <c r="D57" s="65">
        <f>7.27*D52</f>
        <v>60086.549999999996</v>
      </c>
      <c r="E57" s="65">
        <f t="shared" ref="D57:E57" si="8">7.33*E52</f>
        <v>82352.55</v>
      </c>
      <c r="F57" s="37"/>
      <c r="G57" s="93" t="s">
        <v>75</v>
      </c>
      <c r="H57" s="95">
        <v>1.05</v>
      </c>
      <c r="I57" s="37"/>
      <c r="J57" s="37"/>
    </row>
    <row r="58" spans="2:10" x14ac:dyDescent="0.25">
      <c r="B58" t="s">
        <v>45</v>
      </c>
      <c r="C58" s="68">
        <v>1549000</v>
      </c>
      <c r="D58" s="68">
        <v>1549000</v>
      </c>
      <c r="E58" s="68">
        <v>1549000</v>
      </c>
      <c r="F58" s="37"/>
      <c r="G58" s="93" t="s">
        <v>76</v>
      </c>
      <c r="H58" s="95">
        <v>0.46</v>
      </c>
      <c r="I58" s="37"/>
      <c r="J58" s="37"/>
    </row>
    <row r="59" spans="2:10" x14ac:dyDescent="0.25">
      <c r="B59" t="s">
        <v>46</v>
      </c>
      <c r="C59" s="69">
        <f>C57+C58</f>
        <v>1582805.5</v>
      </c>
      <c r="D59" s="69">
        <f t="shared" ref="D59:E59" si="9">D57+D58</f>
        <v>1609086.55</v>
      </c>
      <c r="E59" s="69">
        <f t="shared" si="9"/>
        <v>1631352.55</v>
      </c>
      <c r="F59" s="37"/>
      <c r="G59" s="93" t="s">
        <v>78</v>
      </c>
      <c r="H59" s="95">
        <v>2.64</v>
      </c>
      <c r="I59" s="37"/>
      <c r="J59" s="37"/>
    </row>
    <row r="60" spans="2:10" x14ac:dyDescent="0.25">
      <c r="C60" s="37"/>
      <c r="D60" s="37"/>
      <c r="E60" s="37"/>
      <c r="F60" s="37"/>
      <c r="G60" s="93" t="s">
        <v>77</v>
      </c>
      <c r="H60" s="95">
        <v>1.34</v>
      </c>
      <c r="I60" s="37"/>
      <c r="J60" s="37"/>
    </row>
    <row r="61" spans="2:10" x14ac:dyDescent="0.25">
      <c r="B61" s="98" t="s">
        <v>47</v>
      </c>
      <c r="C61" s="98"/>
      <c r="D61" s="98"/>
      <c r="E61" s="98"/>
      <c r="F61" s="37"/>
      <c r="G61" s="81" t="s">
        <v>79</v>
      </c>
      <c r="H61" s="97">
        <f>SUM(H54:H60)</f>
        <v>7.27</v>
      </c>
      <c r="I61" s="37"/>
      <c r="J61" s="37"/>
    </row>
    <row r="62" spans="2:10" x14ac:dyDescent="0.25">
      <c r="C62" s="74" t="s">
        <v>2</v>
      </c>
      <c r="D62" s="74" t="s">
        <v>9</v>
      </c>
      <c r="E62" s="74" t="s">
        <v>10</v>
      </c>
      <c r="F62" s="37"/>
      <c r="G62" s="37"/>
      <c r="I62" s="37"/>
      <c r="J62" s="37"/>
    </row>
    <row r="63" spans="2:10" x14ac:dyDescent="0.25">
      <c r="B63" t="s">
        <v>48</v>
      </c>
      <c r="C63" s="70">
        <f>C46</f>
        <v>891250</v>
      </c>
      <c r="D63" s="70">
        <f t="shared" ref="D63:E63" si="10">D46</f>
        <v>1250625</v>
      </c>
      <c r="E63" s="70">
        <f t="shared" si="10"/>
        <v>1538125</v>
      </c>
      <c r="F63" s="37"/>
      <c r="G63" s="99" t="s">
        <v>45</v>
      </c>
      <c r="H63" s="99"/>
      <c r="I63" s="37"/>
      <c r="J63" s="37"/>
    </row>
    <row r="64" spans="2:10" x14ac:dyDescent="0.25">
      <c r="B64" t="s">
        <v>49</v>
      </c>
      <c r="C64" s="65">
        <f>C55</f>
        <v>11160</v>
      </c>
      <c r="D64" s="65">
        <f t="shared" ref="D64:E64" si="11">D55</f>
        <v>19836</v>
      </c>
      <c r="E64" s="65">
        <f t="shared" si="11"/>
        <v>26964</v>
      </c>
      <c r="F64" s="37"/>
      <c r="G64" s="93" t="s">
        <v>80</v>
      </c>
      <c r="H64" s="96">
        <v>700000</v>
      </c>
      <c r="I64" s="37"/>
      <c r="J64" s="37"/>
    </row>
    <row r="65" spans="2:10" ht="15.75" thickBot="1" x14ac:dyDescent="0.3">
      <c r="B65" t="s">
        <v>50</v>
      </c>
      <c r="C65" s="71">
        <f>C59</f>
        <v>1582805.5</v>
      </c>
      <c r="D65" s="71">
        <f t="shared" ref="D65:E65" si="12">D59</f>
        <v>1609086.55</v>
      </c>
      <c r="E65" s="71">
        <f t="shared" si="12"/>
        <v>1631352.55</v>
      </c>
      <c r="F65" s="37"/>
      <c r="G65" s="93" t="s">
        <v>81</v>
      </c>
      <c r="H65" s="96">
        <v>124000</v>
      </c>
      <c r="I65" s="37"/>
      <c r="J65" s="37"/>
    </row>
    <row r="66" spans="2:10" x14ac:dyDescent="0.25">
      <c r="B66" t="s">
        <v>51</v>
      </c>
      <c r="C66" s="62">
        <f>SUM(C63:C65)</f>
        <v>2485215.5</v>
      </c>
      <c r="D66" s="62">
        <f t="shared" ref="D66" si="13">SUM(D63:D65)</f>
        <v>2879547.55</v>
      </c>
      <c r="E66" s="62">
        <f>SUM(E63:E65)</f>
        <v>3196441.55</v>
      </c>
      <c r="F66" s="37"/>
      <c r="G66" s="93" t="s">
        <v>82</v>
      </c>
      <c r="H66" s="96">
        <v>200000</v>
      </c>
      <c r="I66" s="37"/>
      <c r="J66" s="37"/>
    </row>
    <row r="67" spans="2:10" ht="15.75" thickBot="1" x14ac:dyDescent="0.3">
      <c r="B67" t="s">
        <v>52</v>
      </c>
      <c r="C67" s="46">
        <v>0</v>
      </c>
      <c r="D67" s="46">
        <v>0</v>
      </c>
      <c r="E67" s="46">
        <v>0</v>
      </c>
      <c r="F67" s="37"/>
      <c r="G67" s="93" t="s">
        <v>83</v>
      </c>
      <c r="H67" s="96">
        <v>75000</v>
      </c>
      <c r="I67" s="37"/>
      <c r="J67" s="37"/>
    </row>
    <row r="68" spans="2:10" x14ac:dyDescent="0.25">
      <c r="B68" t="s">
        <v>53</v>
      </c>
      <c r="C68" s="62">
        <f>C66</f>
        <v>2485215.5</v>
      </c>
      <c r="D68" s="62">
        <f t="shared" ref="D68:E68" si="14">D66</f>
        <v>2879547.55</v>
      </c>
      <c r="E68" s="62">
        <f t="shared" si="14"/>
        <v>3196441.55</v>
      </c>
      <c r="F68" s="37"/>
      <c r="G68" s="93" t="s">
        <v>84</v>
      </c>
      <c r="H68" s="96">
        <v>450000</v>
      </c>
      <c r="I68" s="37"/>
      <c r="J68" s="37"/>
    </row>
    <row r="69" spans="2:10" x14ac:dyDescent="0.25">
      <c r="C69" s="37"/>
      <c r="D69" s="37"/>
      <c r="E69" s="37"/>
      <c r="F69" s="37"/>
      <c r="G69" s="37"/>
      <c r="H69" s="52">
        <f>SUM(H64:H68)</f>
        <v>1549000</v>
      </c>
      <c r="I69" s="37"/>
      <c r="J69" s="37"/>
    </row>
    <row r="70" spans="2:10" x14ac:dyDescent="0.25">
      <c r="B70" s="72"/>
      <c r="C70" s="73"/>
      <c r="D70" s="73"/>
      <c r="E70" s="73"/>
      <c r="F70" s="37"/>
      <c r="G70" s="37"/>
      <c r="I70" s="37"/>
      <c r="J70" s="37"/>
    </row>
    <row r="71" spans="2:10" ht="15.75" thickBot="1" x14ac:dyDescent="0.3">
      <c r="C71" s="37"/>
      <c r="D71" s="37"/>
      <c r="E71" s="37"/>
      <c r="F71" s="37"/>
      <c r="G71" s="37"/>
      <c r="I71" s="37"/>
      <c r="J71" s="37"/>
    </row>
    <row r="72" spans="2:10" ht="15.75" thickBot="1" x14ac:dyDescent="0.3">
      <c r="B72" s="100" t="s">
        <v>22</v>
      </c>
      <c r="C72" s="101"/>
      <c r="D72" s="101"/>
      <c r="E72" s="102"/>
    </row>
    <row r="73" spans="2:10" x14ac:dyDescent="0.25">
      <c r="C73"/>
      <c r="D73"/>
      <c r="E73"/>
    </row>
    <row r="74" spans="2:10" x14ac:dyDescent="0.25">
      <c r="B74" s="3" t="s">
        <v>23</v>
      </c>
      <c r="C74" s="3" t="s">
        <v>24</v>
      </c>
      <c r="D74" s="3" t="s">
        <v>3</v>
      </c>
      <c r="E74" s="3" t="s">
        <v>25</v>
      </c>
    </row>
    <row r="75" spans="2:10" x14ac:dyDescent="0.25">
      <c r="B75" s="3" t="s">
        <v>38</v>
      </c>
      <c r="C75" s="38">
        <v>2500000</v>
      </c>
      <c r="D75" s="3"/>
      <c r="E75" s="3"/>
    </row>
    <row r="76" spans="2:10" x14ac:dyDescent="0.25">
      <c r="B76" s="3" t="s">
        <v>26</v>
      </c>
      <c r="C76" s="39"/>
      <c r="D76" s="3"/>
      <c r="E76" s="3"/>
    </row>
    <row r="77" spans="2:10" x14ac:dyDescent="0.25">
      <c r="B77" s="3" t="s">
        <v>85</v>
      </c>
      <c r="C77" s="38">
        <f>I17</f>
        <v>11990000</v>
      </c>
      <c r="D77" s="63">
        <f>I18*0.8</f>
        <v>13392000</v>
      </c>
      <c r="E77" s="63">
        <f>I19*0.8</f>
        <v>15968000</v>
      </c>
    </row>
    <row r="78" spans="2:10" x14ac:dyDescent="0.25">
      <c r="B78" s="3" t="s">
        <v>27</v>
      </c>
      <c r="C78" s="3"/>
      <c r="D78" s="38">
        <f>C77</f>
        <v>11990000</v>
      </c>
      <c r="E78" s="63">
        <f>I18*0.5</f>
        <v>8370000</v>
      </c>
    </row>
    <row r="79" spans="2:10" x14ac:dyDescent="0.25">
      <c r="B79" s="3"/>
      <c r="C79" s="3"/>
      <c r="D79" s="3"/>
      <c r="E79" s="3"/>
    </row>
    <row r="80" spans="2:10" x14ac:dyDescent="0.25">
      <c r="B80" s="60" t="s">
        <v>28</v>
      </c>
      <c r="C80" s="61">
        <f>SUM(C75:C79)</f>
        <v>14490000</v>
      </c>
      <c r="D80" s="61">
        <f>+D78</f>
        <v>11990000</v>
      </c>
      <c r="E80" s="103">
        <f>SUM(E75:E79)</f>
        <v>24338000</v>
      </c>
    </row>
    <row r="81" spans="2:10" x14ac:dyDescent="0.25">
      <c r="C81"/>
      <c r="D81"/>
      <c r="E81"/>
    </row>
    <row r="82" spans="2:10" x14ac:dyDescent="0.25">
      <c r="B82" s="60" t="s">
        <v>29</v>
      </c>
      <c r="C82" s="61">
        <f>+C84+C85+C87+C90+C92+C93</f>
        <v>1906203.9474999998</v>
      </c>
      <c r="D82" s="61">
        <f>+D84+D85+D87+D90+D92+D93</f>
        <v>3005846.375</v>
      </c>
      <c r="E82" s="61">
        <f>+E84+E85+E87+E90+E92+E93</f>
        <v>2762729.3625000003</v>
      </c>
    </row>
    <row r="83" spans="2:10" ht="15.75" thickBot="1" x14ac:dyDescent="0.3"/>
    <row r="84" spans="2:10" x14ac:dyDescent="0.25">
      <c r="B84" s="41" t="s">
        <v>87</v>
      </c>
      <c r="C84" s="42">
        <f>C39*0.5%</f>
        <v>14469.1875</v>
      </c>
      <c r="D84" s="42">
        <f>D39*0.5%</f>
        <v>14583.375</v>
      </c>
      <c r="E84" s="43">
        <f>E39*0.5%</f>
        <v>19149.0625</v>
      </c>
    </row>
    <row r="85" spans="2:10" ht="15.75" thickBot="1" x14ac:dyDescent="0.3">
      <c r="B85" s="44" t="s">
        <v>86</v>
      </c>
      <c r="C85" s="45">
        <f>1292544*30%</f>
        <v>387763.20000000001</v>
      </c>
      <c r="D85" s="46"/>
      <c r="E85" s="47"/>
    </row>
    <row r="86" spans="2:10" ht="15.75" thickBot="1" x14ac:dyDescent="0.3">
      <c r="D86" s="5">
        <f>0.1*2506549</f>
        <v>250654.90000000002</v>
      </c>
      <c r="E86" s="5">
        <f>269745*0.1</f>
        <v>26974.5</v>
      </c>
    </row>
    <row r="87" spans="2:10" ht="15.75" thickBot="1" x14ac:dyDescent="0.3">
      <c r="B87" s="48" t="s">
        <v>30</v>
      </c>
      <c r="C87" s="49">
        <f>(2699272-20500)*25%</f>
        <v>669693</v>
      </c>
      <c r="D87" s="49">
        <f>(2984166*0.25)+D86</f>
        <v>996696.4</v>
      </c>
      <c r="E87" s="50">
        <f>(2471836*0.25)+E86</f>
        <v>644933.5</v>
      </c>
    </row>
    <row r="88" spans="2:10" x14ac:dyDescent="0.25">
      <c r="C88" s="52">
        <f>I17*0.016%</f>
        <v>1918.4</v>
      </c>
      <c r="D88" s="52">
        <f>I18*0.016%</f>
        <v>2678.4</v>
      </c>
      <c r="E88" s="52">
        <f>I19*0.016%</f>
        <v>3193.6000000000004</v>
      </c>
      <c r="F88" s="40"/>
    </row>
    <row r="89" spans="2:10" ht="15.75" thickBot="1" x14ac:dyDescent="0.3">
      <c r="B89" t="s">
        <v>32</v>
      </c>
      <c r="C89" s="52">
        <v>1609000</v>
      </c>
      <c r="D89" s="52">
        <v>1532500</v>
      </c>
      <c r="E89" s="52">
        <v>1649500</v>
      </c>
      <c r="F89" s="40"/>
      <c r="G89" s="14"/>
      <c r="I89" s="14"/>
      <c r="J89" s="14"/>
    </row>
    <row r="90" spans="2:10" ht="15.75" thickBot="1" x14ac:dyDescent="0.3">
      <c r="B90" s="51" t="s">
        <v>31</v>
      </c>
      <c r="C90" s="53">
        <f>(C89-C88)*0.35</f>
        <v>562478.55999999994</v>
      </c>
      <c r="D90" s="53">
        <f>((D89-D88)*0.25)+((C89-C88)*0.75)</f>
        <v>1587766.6</v>
      </c>
      <c r="E90" s="54">
        <f>((E89-E88)*0.25)+((D89-D88)*0.75)</f>
        <v>1558942.8000000003</v>
      </c>
    </row>
    <row r="91" spans="2:10" ht="15.75" thickBot="1" x14ac:dyDescent="0.3">
      <c r="C91" s="52"/>
      <c r="D91" s="52"/>
      <c r="E91" s="52"/>
    </row>
    <row r="92" spans="2:10" ht="15.75" thickBot="1" x14ac:dyDescent="0.3">
      <c r="B92" s="55" t="s">
        <v>33</v>
      </c>
      <c r="C92" s="56">
        <f>679500*0.4</f>
        <v>271800</v>
      </c>
      <c r="D92" s="56">
        <f t="shared" ref="D92:E92" si="15">679500*0.4</f>
        <v>271800</v>
      </c>
      <c r="E92" s="56">
        <f t="shared" si="15"/>
        <v>271800</v>
      </c>
    </row>
    <row r="93" spans="2:10" ht="15.75" thickBot="1" x14ac:dyDescent="0.3">
      <c r="B93" s="57" t="s">
        <v>35</v>
      </c>
      <c r="C93" s="58">
        <v>0</v>
      </c>
      <c r="D93" s="58">
        <v>135000</v>
      </c>
      <c r="E93" s="59">
        <v>267904</v>
      </c>
    </row>
    <row r="94" spans="2:10" x14ac:dyDescent="0.25">
      <c r="B94" s="1" t="s">
        <v>34</v>
      </c>
      <c r="C94" s="62">
        <f>+C80-C82</f>
        <v>12583796.0525</v>
      </c>
      <c r="D94" s="62">
        <f>+D80-D82</f>
        <v>8984153.625</v>
      </c>
      <c r="E94" s="62">
        <f>+E80-E82</f>
        <v>21575270.637499999</v>
      </c>
    </row>
    <row r="95" spans="2:10" x14ac:dyDescent="0.25">
      <c r="B95" t="s">
        <v>36</v>
      </c>
      <c r="C95" s="52">
        <f>+C94</f>
        <v>12583796.0525</v>
      </c>
      <c r="D95" s="52">
        <f>+D94</f>
        <v>8984153.625</v>
      </c>
      <c r="E95" s="52">
        <f>+E94</f>
        <v>21575270.637499999</v>
      </c>
    </row>
    <row r="96" spans="2:10" x14ac:dyDescent="0.25">
      <c r="B96" t="s">
        <v>34</v>
      </c>
      <c r="C96" s="52">
        <f>+C94-C95</f>
        <v>0</v>
      </c>
      <c r="D96" s="52">
        <f t="shared" ref="D96:E96" si="16">+D94-D95</f>
        <v>0</v>
      </c>
      <c r="E96" s="52">
        <f t="shared" si="16"/>
        <v>0</v>
      </c>
    </row>
  </sheetData>
  <mergeCells count="10">
    <mergeCell ref="G53:H53"/>
    <mergeCell ref="G63:H63"/>
    <mergeCell ref="A37:A38"/>
    <mergeCell ref="B41:D41"/>
    <mergeCell ref="B72:E72"/>
    <mergeCell ref="B61:E61"/>
    <mergeCell ref="B2:F3"/>
    <mergeCell ref="B6:C6"/>
    <mergeCell ref="B31:B32"/>
    <mergeCell ref="B48:B4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GENERALES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sala4</dc:creator>
  <cp:lastModifiedBy>OSCAR CORTES</cp:lastModifiedBy>
  <dcterms:created xsi:type="dcterms:W3CDTF">2015-03-14T16:35:46Z</dcterms:created>
  <dcterms:modified xsi:type="dcterms:W3CDTF">2015-04-25T13:39:44Z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d670e54a-ae15-4e29-8e15-63227a5b2e22</vt:lpwstr>
  </property>
</Properties>
</file>