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uelo enciso\Desktop\"/>
    </mc:Choice>
  </mc:AlternateContent>
  <bookViews>
    <workbookView xWindow="0" yWindow="0" windowWidth="20490" windowHeight="7755"/>
  </bookViews>
  <sheets>
    <sheet name="Flujo de caja" sheetId="1" r:id="rId1"/>
    <sheet name="VENTAS" sheetId="4" r:id="rId2"/>
    <sheet name="EGRESOS" sheetId="5" r:id="rId3"/>
    <sheet name="TIR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H14" i="6" l="1"/>
  <c r="G15" i="6"/>
  <c r="F14" i="6"/>
  <c r="E15" i="6"/>
  <c r="E7" i="6"/>
  <c r="E8" i="6"/>
  <c r="E9" i="6"/>
  <c r="D6" i="6"/>
  <c r="D14" i="6" s="1"/>
  <c r="C6" i="6"/>
  <c r="E6" i="6" l="1"/>
  <c r="F6" i="6"/>
  <c r="J6" i="6"/>
  <c r="I6" i="6"/>
  <c r="H6" i="6"/>
  <c r="G6" i="6"/>
  <c r="D18" i="1"/>
  <c r="E18" i="1"/>
  <c r="F18" i="1"/>
  <c r="C18" i="1"/>
  <c r="G18" i="1" s="1"/>
  <c r="C21" i="1"/>
  <c r="D21" i="1"/>
  <c r="E21" i="1"/>
  <c r="F21" i="1"/>
  <c r="C22" i="1"/>
  <c r="D22" i="1"/>
  <c r="E22" i="1"/>
  <c r="F22" i="1"/>
  <c r="D15" i="1"/>
  <c r="E15" i="1"/>
  <c r="F15" i="1"/>
  <c r="C15" i="1"/>
  <c r="XFA17" i="4"/>
  <c r="XFA18" i="4" s="1"/>
  <c r="XEY17" i="4"/>
  <c r="XEZ17" i="4"/>
  <c r="XEY18" i="4"/>
  <c r="XEZ18" i="4"/>
  <c r="XEY19" i="4"/>
  <c r="XEZ19" i="4"/>
  <c r="XEY20" i="4"/>
  <c r="XEZ20" i="4"/>
  <c r="XEY21" i="4"/>
  <c r="XEZ21" i="4"/>
  <c r="XEY22" i="4"/>
  <c r="XEZ22" i="4"/>
  <c r="XEY23" i="4"/>
  <c r="XEZ23" i="4"/>
  <c r="XEY24" i="4"/>
  <c r="XEZ24" i="4"/>
  <c r="XEY25" i="4"/>
  <c r="XEZ25" i="4"/>
  <c r="XEY26" i="4"/>
  <c r="XEZ26" i="4"/>
  <c r="XEY27" i="4"/>
  <c r="XEZ27" i="4"/>
  <c r="XEX17" i="4"/>
  <c r="XEX18" i="4" s="1"/>
  <c r="XEW17" i="4"/>
  <c r="XEW18" i="4" s="1"/>
  <c r="C16" i="4"/>
  <c r="D6" i="5"/>
  <c r="D7" i="5"/>
  <c r="E7" i="5"/>
  <c r="F7" i="5" s="1"/>
  <c r="D9" i="5"/>
  <c r="D10" i="5"/>
  <c r="E10" i="5"/>
  <c r="G21" i="1"/>
  <c r="G22" i="1"/>
  <c r="D11" i="5"/>
  <c r="C11" i="5"/>
  <c r="O8" i="5"/>
  <c r="O5" i="5"/>
  <c r="F2" i="5"/>
  <c r="C17" i="4"/>
  <c r="D17" i="4"/>
  <c r="E17" i="4"/>
  <c r="F17" i="4"/>
  <c r="G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D16" i="4"/>
  <c r="E16" i="4"/>
  <c r="F16" i="4"/>
  <c r="G16" i="4"/>
  <c r="D8" i="4"/>
  <c r="D9" i="4"/>
  <c r="D10" i="4"/>
  <c r="D11" i="4"/>
  <c r="D7" i="4"/>
  <c r="H16" i="4"/>
  <c r="H7" i="6" l="1"/>
  <c r="H8" i="6" s="1"/>
  <c r="H9" i="6" s="1"/>
  <c r="H10" i="6"/>
  <c r="J7" i="6"/>
  <c r="J8" i="6" s="1"/>
  <c r="J9" i="6" s="1"/>
  <c r="J10" i="6"/>
  <c r="G7" i="6"/>
  <c r="G8" i="6" s="1"/>
  <c r="G9" i="6" s="1"/>
  <c r="I7" i="6"/>
  <c r="I8" i="6" s="1"/>
  <c r="I9" i="6" s="1"/>
  <c r="F7" i="6"/>
  <c r="F8" i="6" s="1"/>
  <c r="F9" i="6" s="1"/>
  <c r="H17" i="4"/>
  <c r="D17" i="1"/>
  <c r="G7" i="5"/>
  <c r="H7" i="5" s="1"/>
  <c r="I7" i="5" s="1"/>
  <c r="J7" i="5" s="1"/>
  <c r="K7" i="5" s="1"/>
  <c r="L7" i="5" s="1"/>
  <c r="M7" i="5" s="1"/>
  <c r="N7" i="5" s="1"/>
  <c r="XEW19" i="4"/>
  <c r="C18" i="4"/>
  <c r="XFA19" i="4"/>
  <c r="G18" i="4"/>
  <c r="C20" i="1"/>
  <c r="E17" i="1"/>
  <c r="I17" i="4"/>
  <c r="F10" i="5"/>
  <c r="D20" i="1" s="1"/>
  <c r="E9" i="5"/>
  <c r="E6" i="5"/>
  <c r="G15" i="1"/>
  <c r="C19" i="1"/>
  <c r="C17" i="1"/>
  <c r="XEX19" i="4"/>
  <c r="D18" i="4"/>
  <c r="I18" i="4" s="1"/>
  <c r="I16" i="4"/>
  <c r="F10" i="6" l="1"/>
  <c r="I10" i="6"/>
  <c r="G10" i="6"/>
  <c r="C9" i="1"/>
  <c r="C10" i="1" s="1"/>
  <c r="C12" i="1" s="1"/>
  <c r="H18" i="4"/>
  <c r="D16" i="1"/>
  <c r="F9" i="5"/>
  <c r="O7" i="5"/>
  <c r="D19" i="1"/>
  <c r="F6" i="5"/>
  <c r="E11" i="5"/>
  <c r="G10" i="5"/>
  <c r="H10" i="5" s="1"/>
  <c r="I10" i="5" s="1"/>
  <c r="J10" i="5" s="1"/>
  <c r="K10" i="5" s="1"/>
  <c r="L10" i="5" s="1"/>
  <c r="M10" i="5" s="1"/>
  <c r="N10" i="5" s="1"/>
  <c r="C16" i="1"/>
  <c r="XFA20" i="4"/>
  <c r="G19" i="4"/>
  <c r="C19" i="4"/>
  <c r="XEW20" i="4"/>
  <c r="F17" i="1"/>
  <c r="G17" i="1" s="1"/>
  <c r="XEX20" i="4"/>
  <c r="D19" i="4"/>
  <c r="D23" i="1" l="1"/>
  <c r="XFA21" i="4"/>
  <c r="G20" i="4"/>
  <c r="O10" i="5"/>
  <c r="E20" i="1"/>
  <c r="XEW21" i="4"/>
  <c r="C20" i="4"/>
  <c r="C23" i="1"/>
  <c r="C25" i="1" s="1"/>
  <c r="F20" i="1"/>
  <c r="G6" i="5"/>
  <c r="F11" i="5"/>
  <c r="G9" i="5"/>
  <c r="H19" i="4"/>
  <c r="I19" i="4"/>
  <c r="XEX21" i="4"/>
  <c r="D20" i="4"/>
  <c r="C11" i="1"/>
  <c r="H6" i="5" l="1"/>
  <c r="G11" i="5"/>
  <c r="E16" i="1"/>
  <c r="C21" i="4"/>
  <c r="XEW22" i="4"/>
  <c r="XFA22" i="4"/>
  <c r="G21" i="4"/>
  <c r="H9" i="5"/>
  <c r="I9" i="5" s="1"/>
  <c r="J9" i="5" s="1"/>
  <c r="K9" i="5" s="1"/>
  <c r="L9" i="5" s="1"/>
  <c r="M9" i="5" s="1"/>
  <c r="N9" i="5" s="1"/>
  <c r="E19" i="1"/>
  <c r="G20" i="1"/>
  <c r="H20" i="4"/>
  <c r="I20" i="4"/>
  <c r="XEX22" i="4"/>
  <c r="D21" i="4"/>
  <c r="D7" i="1"/>
  <c r="XEW23" i="4" l="1"/>
  <c r="C22" i="4"/>
  <c r="E23" i="1"/>
  <c r="O9" i="5"/>
  <c r="XFA23" i="4"/>
  <c r="G22" i="4"/>
  <c r="I6" i="5"/>
  <c r="H11" i="5"/>
  <c r="F16" i="1"/>
  <c r="F19" i="1"/>
  <c r="G19" i="1" s="1"/>
  <c r="H21" i="4"/>
  <c r="I21" i="4"/>
  <c r="XEX23" i="4"/>
  <c r="D22" i="4"/>
  <c r="F23" i="1" l="1"/>
  <c r="J6" i="5"/>
  <c r="I11" i="5"/>
  <c r="XFA24" i="4"/>
  <c r="G23" i="4"/>
  <c r="G16" i="1"/>
  <c r="G23" i="1" s="1"/>
  <c r="C23" i="4"/>
  <c r="XEW24" i="4"/>
  <c r="H22" i="4"/>
  <c r="I22" i="4"/>
  <c r="XEX24" i="4"/>
  <c r="D23" i="4"/>
  <c r="D9" i="1"/>
  <c r="XEW25" i="4" l="1"/>
  <c r="C24" i="4"/>
  <c r="XFA25" i="4"/>
  <c r="G24" i="4"/>
  <c r="K6" i="5"/>
  <c r="J11" i="5"/>
  <c r="D10" i="1"/>
  <c r="D12" i="1" s="1"/>
  <c r="D25" i="1" s="1"/>
  <c r="E7" i="1" s="1"/>
  <c r="D11" i="1"/>
  <c r="H23" i="4"/>
  <c r="I23" i="4"/>
  <c r="XEX25" i="4"/>
  <c r="D24" i="4"/>
  <c r="L6" i="5" l="1"/>
  <c r="K11" i="5"/>
  <c r="XFA26" i="4"/>
  <c r="G25" i="4"/>
  <c r="C25" i="4"/>
  <c r="XEW26" i="4"/>
  <c r="H24" i="4"/>
  <c r="I24" i="4"/>
  <c r="E9" i="1" s="1"/>
  <c r="XEX26" i="4"/>
  <c r="D25" i="4"/>
  <c r="XEW27" i="4" l="1"/>
  <c r="C27" i="4" s="1"/>
  <c r="C26" i="4"/>
  <c r="XFA27" i="4"/>
  <c r="G27" i="4" s="1"/>
  <c r="G26" i="4"/>
  <c r="M6" i="5"/>
  <c r="L11" i="5"/>
  <c r="H25" i="4"/>
  <c r="I25" i="4"/>
  <c r="XEX27" i="4"/>
  <c r="D27" i="4" s="1"/>
  <c r="D26" i="4"/>
  <c r="E10" i="1"/>
  <c r="E12" i="1" s="1"/>
  <c r="E25" i="1" s="1"/>
  <c r="F7" i="1" s="1"/>
  <c r="E11" i="1"/>
  <c r="N6" i="5" l="1"/>
  <c r="N11" i="5" s="1"/>
  <c r="M11" i="5"/>
  <c r="O6" i="5"/>
  <c r="H26" i="4"/>
  <c r="I26" i="4"/>
  <c r="H27" i="4"/>
  <c r="I27" i="4"/>
  <c r="I28" i="4" s="1"/>
  <c r="F9" i="1" l="1"/>
  <c r="F10" i="1" s="1"/>
  <c r="F12" i="1" s="1"/>
  <c r="F25" i="1" s="1"/>
  <c r="G7" i="1" s="1"/>
  <c r="F11" i="1" l="1"/>
  <c r="G12" i="1"/>
  <c r="G25" i="1" s="1"/>
</calcChain>
</file>

<file path=xl/sharedStrings.xml><?xml version="1.0" encoding="utf-8"?>
<sst xmlns="http://schemas.openxmlformats.org/spreadsheetml/2006/main" count="89" uniqueCount="72">
  <si>
    <t>Flujo De Caja Proyectado</t>
  </si>
  <si>
    <t>" Reciclaje UCC"</t>
  </si>
  <si>
    <t xml:space="preserve">Saldo Inicial </t>
  </si>
  <si>
    <t>De 1 de Enero al 31  De didiembre de 2016</t>
  </si>
  <si>
    <t>1 er</t>
  </si>
  <si>
    <t>2 do</t>
  </si>
  <si>
    <t>3 er</t>
  </si>
  <si>
    <t>4 to</t>
  </si>
  <si>
    <t>TOTAL</t>
  </si>
  <si>
    <t>Trimestre</t>
  </si>
  <si>
    <t>INGRESOS</t>
  </si>
  <si>
    <t>EGRESOS</t>
  </si>
  <si>
    <t>Mano de Obra</t>
  </si>
  <si>
    <t>Gastos de Fabricacion</t>
  </si>
  <si>
    <t>Gastos de administracion</t>
  </si>
  <si>
    <t>Gastos de comercializacion</t>
  </si>
  <si>
    <t>Gastos financieros</t>
  </si>
  <si>
    <t>Compra maquinaria</t>
  </si>
  <si>
    <t>Prestamo</t>
  </si>
  <si>
    <t>Interés</t>
  </si>
  <si>
    <t>SALDO FINAL</t>
  </si>
  <si>
    <t xml:space="preserve">PRESUPUESTO VENTAS </t>
  </si>
  <si>
    <t xml:space="preserve">PRECIOS DE VENTAS </t>
  </si>
  <si>
    <t>PRODUCTO</t>
  </si>
  <si>
    <t>PRECIO</t>
  </si>
  <si>
    <t>POLIPROPILENO</t>
  </si>
  <si>
    <t>VIDRIO</t>
  </si>
  <si>
    <t>PLASTICO</t>
  </si>
  <si>
    <t>PAPEL</t>
  </si>
  <si>
    <t>OTROS</t>
  </si>
  <si>
    <t>UNIDADES VENDIDAS</t>
  </si>
  <si>
    <t xml:space="preserve">MES </t>
  </si>
  <si>
    <t>POLIPROPILENO (Kg)</t>
  </si>
  <si>
    <t>VIDRIO (Kg)</t>
  </si>
  <si>
    <t>PLASTICO (Kg)</t>
  </si>
  <si>
    <t>PAPEL (Kg)</t>
  </si>
  <si>
    <t>OTROS (Kg)</t>
  </si>
  <si>
    <t>Suma de productos</t>
  </si>
  <si>
    <t xml:space="preserve">PRECIO TOTAL VENTAS </t>
  </si>
  <si>
    <t xml:space="preserve">ENERO </t>
  </si>
  <si>
    <t>FEBRERO</t>
  </si>
  <si>
    <t xml:space="preserve"> MARZO 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</si>
  <si>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</si>
  <si>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</si>
  <si>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</si>
  <si>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</si>
  <si>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</si>
  <si>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</si>
  <si>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</si>
  <si>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</si>
  <si>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</si>
  <si>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Grado de sensibilidad</t>
  </si>
  <si>
    <t>Ventas a contado (80%)</t>
  </si>
  <si>
    <t>Ventas</t>
  </si>
  <si>
    <t>Cuentas por cobrar 90 Dias (20%)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</si>
  <si>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</si>
  <si>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</si>
  <si>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</si>
  <si>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</si>
  <si>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</si>
  <si>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</si>
  <si>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</si>
  <si>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</si>
  <si>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</si>
  <si>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</si>
  <si>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</si>
  <si>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</si>
  <si>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Ingresos</t>
  </si>
  <si>
    <t>Gastos</t>
  </si>
  <si>
    <t>Valor neto (I-G)</t>
  </si>
  <si>
    <t>Valor en 0 del valor neto con el tipo de interés:</t>
  </si>
  <si>
    <t>SUMA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</si>
</sst>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6" fontId="0" fillId="0" borderId="0" xfId="0" applyNumberFormat="1"/>
    <xf numFmtId="0" fontId="0" fillId="3" borderId="0" xfId="0" applyFill="1"/>
    <xf numFmtId="0" fontId="2" fillId="2" borderId="0" xfId="0" applyFont="1" applyFill="1"/>
    <xf numFmtId="167" fontId="0" fillId="0" borderId="0" xfId="1" applyNumberFormat="1" applyFont="1"/>
    <xf numFmtId="0" fontId="2" fillId="4" borderId="0" xfId="0" applyFont="1" applyFill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5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6" fontId="0" fillId="0" borderId="2" xfId="1" applyNumberFormat="1" applyFont="1" applyBorder="1" applyAlignment="1">
      <alignment horizontal="center" vertical="center"/>
    </xf>
    <xf numFmtId="164" fontId="0" fillId="0" borderId="2" xfId="2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6" borderId="0" xfId="0" applyFont="1" applyFill="1" applyAlignment="1">
      <alignment vertical="center" wrapText="1"/>
    </xf>
    <xf numFmtId="3" fontId="4" fillId="6" borderId="0" xfId="0" applyNumberFormat="1" applyFont="1" applyFill="1" applyAlignment="1">
      <alignment vertical="center" wrapText="1"/>
    </xf>
    <xf numFmtId="3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wrapText="1"/>
    </xf>
    <xf numFmtId="9" fontId="3" fillId="7" borderId="0" xfId="0" applyNumberFormat="1" applyFont="1" applyFill="1" applyAlignment="1">
      <alignment horizontal="center" vertical="center" wrapText="1"/>
    </xf>
    <xf numFmtId="10" fontId="3" fillId="7" borderId="0" xfId="0" applyNumberFormat="1" applyFont="1" applyFill="1" applyAlignment="1">
      <alignment horizontal="center" vertical="center" wrapText="1"/>
    </xf>
    <xf numFmtId="165" fontId="0" fillId="0" borderId="0" xfId="1" applyFont="1" applyAlignment="1">
      <alignment horizontal="left"/>
    </xf>
    <xf numFmtId="3" fontId="0" fillId="0" borderId="0" xfId="0" applyNumberFormat="1" applyAlignment="1">
      <alignment horizontal="center"/>
    </xf>
    <xf numFmtId="0" fontId="4" fillId="6" borderId="0" xfId="0" applyFont="1" applyFill="1" applyAlignment="1">
      <alignment horizontal="center" vertical="center" wrapText="1"/>
    </xf>
    <xf numFmtId="165" fontId="0" fillId="0" borderId="0" xfId="1" applyFont="1"/>
    <xf numFmtId="165" fontId="3" fillId="7" borderId="0" xfId="1" applyFont="1" applyFill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TIR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TIR!$Q$4:$V$4</c:f>
              <c:numCache>
                <c:formatCode>_(* #,##0.00_);_(* \(#,##0.00\);_(* "-"??_);_(@_)</c:formatCode>
                <c:ptCount val="6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0.25</c:v>
                </c:pt>
                <c:pt idx="5">
                  <c:v>0.28489999999999999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TIR!$Q$5:$V$5</c:f>
              <c:numCache>
                <c:formatCode>_(* #,##0.00_);_(* \(#,##0.00\);_(* "-"??_);_(@_)</c:formatCode>
                <c:ptCount val="6"/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TIR!$R$6:$V$6</c:f>
              <c:numCache>
                <c:formatCode>_(* #,##0.0_);_(* \(#,##0.0\);_(* "-"??_);_(@_)</c:formatCode>
                <c:ptCount val="5"/>
                <c:pt idx="0">
                  <c:v>29292482.591194961</c:v>
                </c:pt>
                <c:pt idx="1">
                  <c:v>27750772.981132068</c:v>
                </c:pt>
                <c:pt idx="2">
                  <c:v>24667353.761006285</c:v>
                </c:pt>
                <c:pt idx="3">
                  <c:v>23125644.150943391</c:v>
                </c:pt>
                <c:pt idx="4">
                  <c:v>22049530.843119495</c:v>
                </c:pt>
              </c:numCache>
            </c:numRef>
          </c:val>
          <c:smooth val="0"/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TIR!$R$7:$V$7</c:f>
              <c:numCache>
                <c:formatCode>_(* #,##0.0_);_(* \(#,##0.0\);_(* "-"??_);_(@_)</c:formatCode>
                <c:ptCount val="5"/>
                <c:pt idx="0">
                  <c:v>27827858.461635213</c:v>
                </c:pt>
                <c:pt idx="1">
                  <c:v>24975695.683018859</c:v>
                </c:pt>
                <c:pt idx="2">
                  <c:v>19733883.008805029</c:v>
                </c:pt>
                <c:pt idx="3">
                  <c:v>17344233.113207541</c:v>
                </c:pt>
                <c:pt idx="4">
                  <c:v>15767619.505914751</c:v>
                </c:pt>
              </c:numCache>
            </c:numRef>
          </c:val>
          <c:smooth val="0"/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TIR!$R$8:$V$8</c:f>
              <c:numCache>
                <c:formatCode>_(* #,##0.0_);_(* \(#,##0.0\);_(* "-"??_);_(@_)</c:formatCode>
                <c:ptCount val="5"/>
                <c:pt idx="0">
                  <c:v>26436465.538553454</c:v>
                </c:pt>
                <c:pt idx="1">
                  <c:v>22478126.114716973</c:v>
                </c:pt>
                <c:pt idx="2">
                  <c:v>15787106.407044023</c:v>
                </c:pt>
                <c:pt idx="3">
                  <c:v>13008174.834905656</c:v>
                </c:pt>
                <c:pt idx="4">
                  <c:v>11275424.708679639</c:v>
                </c:pt>
              </c:numCache>
            </c:numRef>
          </c:val>
          <c:smooth val="0"/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TIR!$R$9:$V$9</c:f>
              <c:numCache>
                <c:formatCode>_(* #,##0.0_);_(* \(#,##0.0\);_(* "-"??_);_(@_)</c:formatCode>
                <c:ptCount val="5"/>
                <c:pt idx="0">
                  <c:v>25114642.261625782</c:v>
                </c:pt>
                <c:pt idx="1">
                  <c:v>20230313.503245275</c:v>
                </c:pt>
                <c:pt idx="2">
                  <c:v>12629685.125635218</c:v>
                </c:pt>
                <c:pt idx="3">
                  <c:v>9756131.1261792425</c:v>
                </c:pt>
                <c:pt idx="4">
                  <c:v>8063056.2091768105</c:v>
                </c:pt>
              </c:numCache>
            </c:numRef>
          </c: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792864"/>
        <c:axId val="757800480"/>
      </c:lineChart>
      <c:catAx>
        <c:axId val="757792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7800480"/>
        <c:crosses val="autoZero"/>
        <c:auto val="1"/>
        <c:lblAlgn val="ctr"/>
        <c:lblOffset val="100"/>
        <c:noMultiLvlLbl val="0"/>
      </c:catAx>
      <c:valAx>
        <c:axId val="757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7792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17</xdr:row>
      <xdr:rowOff>0</xdr:rowOff>
    </xdr:from>
    <xdr:to>
      <xdr:col>8</xdr:col>
      <xdr:colOff>9525</xdr:colOff>
      <xdr:row>17</xdr:row>
      <xdr:rowOff>0</xdr:rowOff>
    </xdr:to>
    <xdr:cxnSp macro="">
      <xdr:nvCxnSpPr>
        <xdr:cNvPr id="4" name="Conector recto 3"/>
        <xdr:cNvCxnSpPr/>
      </xdr:nvCxnSpPr>
      <xdr:spPr>
        <a:xfrm>
          <a:off x="2266950" y="3238500"/>
          <a:ext cx="38385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752475</xdr:colOff>
      <xdr:row>14</xdr:row>
      <xdr:rowOff>171450</xdr:rowOff>
    </xdr:from>
    <xdr:to>
      <xdr:col>3</xdr:col>
      <xdr:colOff>0</xdr:colOff>
      <xdr:row>18</xdr:row>
      <xdr:rowOff>152400</xdr:rowOff>
    </xdr:to>
    <xdr:cxnSp macro="">
      <xdr:nvCxnSpPr>
        <xdr:cNvPr id="6" name="Conector recto 5"/>
        <xdr:cNvCxnSpPr/>
      </xdr:nvCxnSpPr>
      <xdr:spPr>
        <a:xfrm>
          <a:off x="2276475" y="2838450"/>
          <a:ext cx="9525" cy="7429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15</xdr:row>
      <xdr:rowOff>57150</xdr:rowOff>
    </xdr:from>
    <xdr:to>
      <xdr:col>3</xdr:col>
      <xdr:colOff>752475</xdr:colOff>
      <xdr:row>17</xdr:row>
      <xdr:rowOff>171450</xdr:rowOff>
    </xdr:to>
    <xdr:cxnSp macro="">
      <xdr:nvCxnSpPr>
        <xdr:cNvPr id="7" name="Conector recto 6"/>
        <xdr:cNvCxnSpPr/>
      </xdr:nvCxnSpPr>
      <xdr:spPr>
        <a:xfrm>
          <a:off x="3038475" y="2914650"/>
          <a:ext cx="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15</xdr:row>
      <xdr:rowOff>66675</xdr:rowOff>
    </xdr:from>
    <xdr:to>
      <xdr:col>4</xdr:col>
      <xdr:colOff>752475</xdr:colOff>
      <xdr:row>17</xdr:row>
      <xdr:rowOff>180975</xdr:rowOff>
    </xdr:to>
    <xdr:cxnSp macro="">
      <xdr:nvCxnSpPr>
        <xdr:cNvPr id="11" name="Conector recto 10"/>
        <xdr:cNvCxnSpPr/>
      </xdr:nvCxnSpPr>
      <xdr:spPr>
        <a:xfrm>
          <a:off x="3800475" y="2924175"/>
          <a:ext cx="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15</xdr:row>
      <xdr:rowOff>57150</xdr:rowOff>
    </xdr:from>
    <xdr:to>
      <xdr:col>5</xdr:col>
      <xdr:colOff>742950</xdr:colOff>
      <xdr:row>17</xdr:row>
      <xdr:rowOff>171450</xdr:rowOff>
    </xdr:to>
    <xdr:cxnSp macro="">
      <xdr:nvCxnSpPr>
        <xdr:cNvPr id="12" name="Conector recto 11"/>
        <xdr:cNvCxnSpPr/>
      </xdr:nvCxnSpPr>
      <xdr:spPr>
        <a:xfrm>
          <a:off x="4552950" y="2914650"/>
          <a:ext cx="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85725</xdr:rowOff>
    </xdr:from>
    <xdr:to>
      <xdr:col>7</xdr:col>
      <xdr:colOff>9525</xdr:colOff>
      <xdr:row>18</xdr:row>
      <xdr:rowOff>9525</xdr:rowOff>
    </xdr:to>
    <xdr:cxnSp macro="">
      <xdr:nvCxnSpPr>
        <xdr:cNvPr id="13" name="Conector recto 12"/>
        <xdr:cNvCxnSpPr/>
      </xdr:nvCxnSpPr>
      <xdr:spPr>
        <a:xfrm>
          <a:off x="5343525" y="2943225"/>
          <a:ext cx="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15</xdr:row>
      <xdr:rowOff>85725</xdr:rowOff>
    </xdr:from>
    <xdr:to>
      <xdr:col>8</xdr:col>
      <xdr:colOff>9525</xdr:colOff>
      <xdr:row>18</xdr:row>
      <xdr:rowOff>9525</xdr:rowOff>
    </xdr:to>
    <xdr:cxnSp macro="">
      <xdr:nvCxnSpPr>
        <xdr:cNvPr id="15" name="Conector recto 14"/>
        <xdr:cNvCxnSpPr/>
      </xdr:nvCxnSpPr>
      <xdr:spPr>
        <a:xfrm>
          <a:off x="6105525" y="2943225"/>
          <a:ext cx="0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409574</xdr:colOff>
      <xdr:row>20</xdr:row>
      <xdr:rowOff>71436</xdr:rowOff>
    </xdr:from>
    <xdr:to>
      <xdr:col>9</xdr:col>
      <xdr:colOff>638175</xdr:colOff>
      <xdr:row>38</xdr:row>
      <xdr:rowOff>104775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DE%20AMROTIZACION%20GRAD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GRADIENTE"/>
    </sheetNames>
    <sheetDataSet>
      <sheetData sheetId="0" refreshError="1"/>
      <sheetData sheetId="1">
        <row r="6">
          <cell r="E6">
            <v>180000</v>
          </cell>
          <cell r="F6">
            <v>154093.69454550458</v>
          </cell>
        </row>
        <row r="7">
          <cell r="E7">
            <v>175377.18916363484</v>
          </cell>
          <cell r="F7">
            <v>160716.50538186973</v>
          </cell>
        </row>
        <row r="8">
          <cell r="E8">
            <v>170555.69400217876</v>
          </cell>
          <cell r="F8">
            <v>167538.00054332582</v>
          </cell>
        </row>
        <row r="9">
          <cell r="E9">
            <v>165529.55398587897</v>
          </cell>
          <cell r="F9">
            <v>174564.14055962561</v>
          </cell>
        </row>
        <row r="10">
          <cell r="E10">
            <v>160292.62976909018</v>
          </cell>
          <cell r="F10">
            <v>181801.06477641439</v>
          </cell>
        </row>
        <row r="11">
          <cell r="E11">
            <v>154838.59782579777</v>
          </cell>
          <cell r="F11">
            <v>189255.09671970681</v>
          </cell>
        </row>
        <row r="12">
          <cell r="E12">
            <v>149160.94492420659</v>
          </cell>
          <cell r="F12">
            <v>196932.74962129799</v>
          </cell>
        </row>
        <row r="13">
          <cell r="E13">
            <v>143252.96243556764</v>
          </cell>
          <cell r="F13">
            <v>204840.73210993694</v>
          </cell>
        </row>
        <row r="14">
          <cell r="E14">
            <v>137107.74047226954</v>
          </cell>
          <cell r="F14">
            <v>212985.95407323504</v>
          </cell>
        </row>
        <row r="15">
          <cell r="E15">
            <v>130718.16185007247</v>
          </cell>
          <cell r="F15">
            <v>221375.53269543211</v>
          </cell>
        </row>
        <row r="16">
          <cell r="E16">
            <v>124076.8958692095</v>
          </cell>
          <cell r="F16">
            <v>230016.79867629509</v>
          </cell>
        </row>
        <row r="17">
          <cell r="E17">
            <v>117176.39190892065</v>
          </cell>
          <cell r="F17">
            <v>238917.30263658392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tabSelected="1" zoomScaleNormal="100" workbookViewId="0">
      <selection activeCell="I8" sqref="I8"/>
    </sheetView>
  </sheetViews>
  <sheetFormatPr baseColWidth="10" defaultRowHeight="15" x14ac:dyDescent="0.25"/>
  <cols>
    <col min="1" max="1" width="4.85546875" customWidth="1"/>
    <col min="2" max="2" width="25" bestFit="1" customWidth="1"/>
    <col min="3" max="4" width="15.5703125" bestFit="1" customWidth="1"/>
    <col min="5" max="6" width="16.7109375" bestFit="1" customWidth="1"/>
    <col min="7" max="7" width="13.140625" bestFit="1" customWidth="1"/>
  </cols>
  <sheetData>
    <row r="2" spans="2:7" x14ac:dyDescent="0.25">
      <c r="B2" s="29" t="s">
        <v>1</v>
      </c>
      <c r="C2" s="29"/>
      <c r="D2" s="29"/>
      <c r="E2" s="29"/>
      <c r="F2" s="29"/>
      <c r="G2" s="29"/>
    </row>
    <row r="3" spans="2:7" x14ac:dyDescent="0.25">
      <c r="B3" s="28" t="s">
        <v>0</v>
      </c>
      <c r="C3" s="28"/>
      <c r="D3" s="28"/>
      <c r="E3" s="28"/>
      <c r="F3" s="28"/>
      <c r="G3" s="28"/>
    </row>
    <row r="4" spans="2:7" x14ac:dyDescent="0.25">
      <c r="B4" s="29" t="s">
        <v>3</v>
      </c>
      <c r="C4" s="29"/>
      <c r="D4" s="29"/>
      <c r="E4" s="29"/>
      <c r="F4" s="29"/>
      <c r="G4" s="29"/>
    </row>
    <row r="5" spans="2:7" x14ac:dyDescent="0.25">
      <c r="C5" s="28" t="s">
        <v>9</v>
      </c>
      <c r="D5" s="28"/>
      <c r="E5" s="28"/>
      <c r="F5" s="28"/>
      <c r="G5" s="27" t="s">
        <v>8</v>
      </c>
    </row>
    <row r="6" spans="2:7" x14ac:dyDescent="0.25">
      <c r="C6" s="3" t="s">
        <v>4</v>
      </c>
      <c r="D6" s="3" t="s">
        <v>5</v>
      </c>
      <c r="E6" s="3" t="s">
        <v>6</v>
      </c>
      <c r="F6" s="3" t="s">
        <v>7</v>
      </c>
      <c r="G6" s="27"/>
    </row>
    <row r="7" spans="2:7" x14ac:dyDescent="0.25">
      <c r="B7" s="2" t="s">
        <v>2</v>
      </c>
      <c r="C7" s="4">
        <v>600000</v>
      </c>
      <c r="D7" s="4">
        <f>C25</f>
        <v>1362580.0163634866</v>
      </c>
      <c r="E7" s="4">
        <f t="shared" ref="E7:G7" si="0">D25</f>
        <v>5712778.334157737</v>
      </c>
      <c r="F7" s="4">
        <f t="shared" si="0"/>
        <v>9888139.9847400468</v>
      </c>
      <c r="G7" s="4">
        <f t="shared" si="0"/>
        <v>13870693.86599659</v>
      </c>
    </row>
    <row r="8" spans="2:7" x14ac:dyDescent="0.25">
      <c r="B8" s="9" t="s">
        <v>10</v>
      </c>
    </row>
    <row r="9" spans="2:7" x14ac:dyDescent="0.25">
      <c r="B9" t="s">
        <v>53</v>
      </c>
      <c r="C9" s="26">
        <f>SUM(VENTAS!I16:I18)</f>
        <v>19009732.625</v>
      </c>
      <c r="D9" s="26">
        <f>SUM(VENTAS!I19:I21)</f>
        <v>19296306.720538452</v>
      </c>
      <c r="E9" s="26">
        <f>SUM(VENTAS!I22:I24)</f>
        <v>19587200.956388913</v>
      </c>
      <c r="F9" s="26">
        <f>SUM(VENTAS!I25:I27)</f>
        <v>19882480.459206592</v>
      </c>
    </row>
    <row r="10" spans="2:7" x14ac:dyDescent="0.25">
      <c r="B10" s="5" t="s">
        <v>52</v>
      </c>
      <c r="C10" s="26">
        <f>+C9*0.8</f>
        <v>15207786.100000001</v>
      </c>
      <c r="D10" s="26">
        <f t="shared" ref="D10:F10" si="1">+D9*0.8</f>
        <v>15437045.376430763</v>
      </c>
      <c r="E10" s="26">
        <f t="shared" si="1"/>
        <v>15669760.765111132</v>
      </c>
      <c r="F10" s="26">
        <f t="shared" si="1"/>
        <v>15905984.367365275</v>
      </c>
    </row>
    <row r="11" spans="2:7" ht="30" x14ac:dyDescent="0.25">
      <c r="B11" s="6" t="s">
        <v>54</v>
      </c>
      <c r="C11" s="26">
        <f>+C9*0.2</f>
        <v>3801946.5250000004</v>
      </c>
      <c r="D11" s="26">
        <f t="shared" ref="D11:F11" si="2">+D9*0.2</f>
        <v>3859261.3441076907</v>
      </c>
      <c r="E11" s="26">
        <f t="shared" si="2"/>
        <v>3917440.1912777829</v>
      </c>
      <c r="F11" s="26">
        <f t="shared" si="2"/>
        <v>3976496.0918413186</v>
      </c>
    </row>
    <row r="12" spans="2:7" x14ac:dyDescent="0.25">
      <c r="C12" s="7">
        <f>C7+C10</f>
        <v>15807786.100000001</v>
      </c>
      <c r="D12" s="7">
        <f>D7+D10+C11</f>
        <v>20601571.91779425</v>
      </c>
      <c r="E12" s="7">
        <f t="shared" ref="E12:G12" si="3">E7+E10+D11</f>
        <v>25241800.44337656</v>
      </c>
      <c r="F12" s="7">
        <f t="shared" si="3"/>
        <v>29711564.543383103</v>
      </c>
      <c r="G12" s="7">
        <f t="shared" si="3"/>
        <v>17847189.957837909</v>
      </c>
    </row>
    <row r="14" spans="2:7" x14ac:dyDescent="0.25">
      <c r="B14" s="9" t="s">
        <v>11</v>
      </c>
    </row>
    <row r="15" spans="2:7" x14ac:dyDescent="0.25">
      <c r="B15" t="s">
        <v>12</v>
      </c>
      <c r="C15" s="4">
        <f>SUM(EGRESOS!C5:E5)*VENTAS!$H$6+SUM(EGRESOS!C5:E5)</f>
        <v>3125175</v>
      </c>
      <c r="D15" s="4">
        <f>SUM(EGRESOS!D5:F5)*VENTAS!$H$6+SUM(EGRESOS!D5:F5)</f>
        <v>3125175</v>
      </c>
      <c r="E15" s="4">
        <f>SUM(EGRESOS!E5:G5)*VENTAS!$H$6+SUM(EGRESOS!E5:G5)</f>
        <v>3125175</v>
      </c>
      <c r="F15" s="4">
        <f>SUM(EGRESOS!F5:H5)*VENTAS!$H$6+SUM(EGRESOS!F5:H5)</f>
        <v>3125175</v>
      </c>
      <c r="G15" s="7">
        <f>SUM(C15:F15)</f>
        <v>12500700</v>
      </c>
    </row>
    <row r="16" spans="2:7" x14ac:dyDescent="0.25">
      <c r="B16" t="s">
        <v>13</v>
      </c>
      <c r="C16" s="4">
        <f>SUM(EGRESOS!C6:E6)*VENTAS!$H$6+SUM(EGRESOS!C6:E6)</f>
        <v>1576250</v>
      </c>
      <c r="D16" s="4">
        <f>SUM(EGRESOS!D6:F6)*VENTAS!$H$6+SUM(EGRESOS!D6:F6)</f>
        <v>1655062.5</v>
      </c>
      <c r="E16" s="4">
        <f>SUM(EGRESOS!E6:G6)*VENTAS!$H$6+SUM(EGRESOS!E6:G6)</f>
        <v>1737815.625</v>
      </c>
      <c r="F16" s="4">
        <f>SUM(EGRESOS!F6:H6)*VENTAS!$H$6+SUM(EGRESOS!F6:H6)</f>
        <v>1824706.40625</v>
      </c>
      <c r="G16" s="7">
        <f t="shared" ref="G16:G22" si="4">SUM(C16:F16)</f>
        <v>6793834.53125</v>
      </c>
    </row>
    <row r="17" spans="2:7" x14ac:dyDescent="0.25">
      <c r="B17" t="s">
        <v>14</v>
      </c>
      <c r="C17" s="4">
        <f>SUM(EGRESOS!C7:E7)*VENTAS!$H$6+SUM(EGRESOS!C7:E7)</f>
        <v>3310125</v>
      </c>
      <c r="D17" s="4">
        <f>SUM(EGRESOS!D7:F7)*VENTAS!$H$6+SUM(EGRESOS!D7:F7)</f>
        <v>3475631.25</v>
      </c>
      <c r="E17" s="4">
        <f>SUM(EGRESOS!E7:G7)*VENTAS!$H$6+SUM(EGRESOS!E7:G7)</f>
        <v>3649412.8125</v>
      </c>
      <c r="F17" s="4">
        <f>SUM(EGRESOS!F7:H7)*VENTAS!$H$6+SUM(EGRESOS!F7:H7)</f>
        <v>3831883.453125</v>
      </c>
      <c r="G17" s="7">
        <f t="shared" si="4"/>
        <v>14267052.515625</v>
      </c>
    </row>
    <row r="18" spans="2:7" x14ac:dyDescent="0.25">
      <c r="B18" t="s">
        <v>15</v>
      </c>
      <c r="C18" s="4">
        <f>SUM(EGRESOS!C8:E8)*VENTAS!$H$6+SUM(EGRESOS!C8:E8)</f>
        <v>1800000</v>
      </c>
      <c r="D18" s="4">
        <f>SUM(EGRESOS!D8:F8)*VENTAS!$H$6+SUM(EGRESOS!D8:F8)</f>
        <v>1800000</v>
      </c>
      <c r="E18" s="4">
        <f>SUM(EGRESOS!E8:G8)*VENTAS!$H$6+SUM(EGRESOS!E8:G8)</f>
        <v>1800000</v>
      </c>
      <c r="F18" s="4">
        <f>SUM(EGRESOS!F8:H8)*VENTAS!$H$6+SUM(EGRESOS!F8:H8)</f>
        <v>1800000</v>
      </c>
      <c r="G18" s="7">
        <f t="shared" si="4"/>
        <v>7200000</v>
      </c>
    </row>
    <row r="19" spans="2:7" x14ac:dyDescent="0.25">
      <c r="B19" t="s">
        <v>16</v>
      </c>
      <c r="C19" s="4">
        <f>SUM(EGRESOS!C9:E9)*VENTAS!$H$6+SUM(EGRESOS!C9:E9)</f>
        <v>1103375</v>
      </c>
      <c r="D19" s="4">
        <f>SUM(EGRESOS!D9:F9)*VENTAS!$H$6+SUM(EGRESOS!D9:F9)</f>
        <v>1158543.75</v>
      </c>
      <c r="E19" s="4">
        <f>SUM(EGRESOS!E9:G9)*VENTAS!$H$6+SUM(EGRESOS!E9:G9)</f>
        <v>1216470.9375</v>
      </c>
      <c r="F19" s="4">
        <f>SUM(EGRESOS!F9:H9)*VENTAS!$H$6+SUM(EGRESOS!F9:H9)</f>
        <v>1277294.484375</v>
      </c>
      <c r="G19" s="7">
        <f t="shared" si="4"/>
        <v>4755684.171875</v>
      </c>
    </row>
    <row r="20" spans="2:7" x14ac:dyDescent="0.25">
      <c r="B20" t="s">
        <v>17</v>
      </c>
      <c r="C20" s="4">
        <f>SUM(EGRESOS!C10:E10)*VENTAS!$H$6+SUM(EGRESOS!C10:E10)</f>
        <v>2522000</v>
      </c>
      <c r="D20" s="4">
        <f>SUM(EGRESOS!D10:F10)*VENTAS!$H$6+SUM(EGRESOS!D10:F10)</f>
        <v>2648100</v>
      </c>
      <c r="E20" s="4">
        <f>SUM(EGRESOS!E10:G10)*VENTAS!$H$6+SUM(EGRESOS!E10:G10)</f>
        <v>2780505</v>
      </c>
      <c r="F20" s="4">
        <f>SUM(EGRESOS!F10:H10)*VENTAS!$H$6+SUM(EGRESOS!F10:H10)</f>
        <v>2919530.25</v>
      </c>
      <c r="G20" s="7">
        <f t="shared" si="4"/>
        <v>10870135.25</v>
      </c>
    </row>
    <row r="21" spans="2:7" x14ac:dyDescent="0.25">
      <c r="B21" t="s">
        <v>18</v>
      </c>
      <c r="C21" s="10">
        <f>SUM([1]GRADIENTE!$F$6:$F$8)</f>
        <v>482348.20047070016</v>
      </c>
      <c r="D21" s="10">
        <f>SUM([1]GRADIENTE!$F$9:$F$11)</f>
        <v>545620.30205574678</v>
      </c>
      <c r="E21" s="10">
        <f>SUM([1]GRADIENTE!$F$12:$F$14)</f>
        <v>614759.43580446998</v>
      </c>
      <c r="F21" s="10">
        <f>SUM([1]GRADIENTE!$F$15:$F$17)</f>
        <v>690309.63400831108</v>
      </c>
      <c r="G21" s="7">
        <f t="shared" si="4"/>
        <v>2333037.5723392279</v>
      </c>
    </row>
    <row r="22" spans="2:7" x14ac:dyDescent="0.25">
      <c r="B22" t="s">
        <v>19</v>
      </c>
      <c r="C22" s="10">
        <f>SUM([1]GRADIENTE!$E$6:$E$8)</f>
        <v>525932.88316581363</v>
      </c>
      <c r="D22" s="10">
        <f>SUM([1]GRADIENTE!$E$9:$E$11)</f>
        <v>480660.7815807669</v>
      </c>
      <c r="E22" s="10">
        <f>SUM([1]GRADIENTE!$E$12:$E$14)</f>
        <v>429521.64783204376</v>
      </c>
      <c r="F22" s="10">
        <f>SUM([1]GRADIENTE!$E$15:$E$17)</f>
        <v>371971.44962820265</v>
      </c>
      <c r="G22" s="7">
        <f t="shared" si="4"/>
        <v>1808086.7622068271</v>
      </c>
    </row>
    <row r="23" spans="2:7" x14ac:dyDescent="0.25">
      <c r="C23" s="10">
        <f>SUM(C15:C22)</f>
        <v>14445206.083636515</v>
      </c>
      <c r="D23" s="10">
        <f t="shared" ref="D23:G23" si="5">SUM(D15:D22)</f>
        <v>14888793.583636513</v>
      </c>
      <c r="E23" s="10">
        <f t="shared" si="5"/>
        <v>15353660.458636513</v>
      </c>
      <c r="F23" s="10">
        <f t="shared" si="5"/>
        <v>15840870.677386513</v>
      </c>
      <c r="G23" s="10">
        <f t="shared" si="5"/>
        <v>60528530.803296059</v>
      </c>
    </row>
    <row r="25" spans="2:7" x14ac:dyDescent="0.25">
      <c r="B25" s="8" t="s">
        <v>20</v>
      </c>
      <c r="C25" s="7">
        <f>C12-C23</f>
        <v>1362580.0163634866</v>
      </c>
      <c r="D25" s="7">
        <f>D12-D23</f>
        <v>5712778.334157737</v>
      </c>
      <c r="E25" s="7">
        <f t="shared" ref="E25:F25" si="6">E12-E23</f>
        <v>9888139.9847400468</v>
      </c>
      <c r="F25" s="7">
        <f t="shared" si="6"/>
        <v>13870693.86599659</v>
      </c>
      <c r="G25" s="7">
        <f>G12-G23</f>
        <v>-42681340.84545815</v>
      </c>
    </row>
  </sheetData>
  <mergeCells count="5">
    <mergeCell ref="G5:G6"/>
    <mergeCell ref="C5:F5"/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FA28"/>
  <sheetViews>
    <sheetView showGridLines="0" workbookViewId="0">
      <selection activeCell="J8" sqref="J8:J9"/>
    </sheetView>
  </sheetViews>
  <sheetFormatPr baseColWidth="10" defaultRowHeight="15" x14ac:dyDescent="0.25"/>
  <cols>
    <col min="2" max="2" width="21.85546875" bestFit="1" customWidth="1"/>
    <col min="3" max="3" width="21.85546875" customWidth="1"/>
    <col min="4" max="4" width="19.28515625" bestFit="1" customWidth="1"/>
    <col min="9" max="10" width="21.5703125" bestFit="1" customWidth="1"/>
  </cols>
  <sheetData>
    <row r="4" spans="2:10 16377:16381" x14ac:dyDescent="0.25">
      <c r="B4" s="11" t="s">
        <v>21</v>
      </c>
      <c r="C4" s="11"/>
      <c r="D4" s="1"/>
      <c r="E4" s="1"/>
      <c r="F4" s="1"/>
      <c r="G4" s="1"/>
      <c r="H4" s="1"/>
      <c r="I4" s="1"/>
      <c r="J4" s="1"/>
    </row>
    <row r="5" spans="2:10 16377:16381" x14ac:dyDescent="0.25">
      <c r="B5" s="30" t="s">
        <v>22</v>
      </c>
      <c r="C5" s="30"/>
      <c r="D5" s="30"/>
      <c r="E5" s="1"/>
      <c r="F5" s="1"/>
      <c r="G5" s="1"/>
      <c r="H5" s="1"/>
      <c r="I5" s="1"/>
      <c r="J5" s="1"/>
    </row>
    <row r="6" spans="2:10 16377:16381" x14ac:dyDescent="0.25">
      <c r="B6" s="12" t="s">
        <v>23</v>
      </c>
      <c r="C6" s="12" t="s">
        <v>24</v>
      </c>
      <c r="D6" s="12" t="s">
        <v>24</v>
      </c>
      <c r="E6" s="1"/>
      <c r="F6" s="28" t="s">
        <v>51</v>
      </c>
      <c r="G6" s="28"/>
      <c r="H6" s="25">
        <v>0</v>
      </c>
      <c r="I6" s="1"/>
      <c r="J6" s="1"/>
    </row>
    <row r="7" spans="2:10 16377:16381" x14ac:dyDescent="0.25">
      <c r="B7" s="13" t="s">
        <v>25</v>
      </c>
      <c r="C7" s="14">
        <v>150</v>
      </c>
      <c r="D7" s="14">
        <f>(C7*$H$6)+C7</f>
        <v>150</v>
      </c>
      <c r="E7" s="1"/>
      <c r="F7" s="1"/>
      <c r="G7" s="1"/>
      <c r="H7" s="1"/>
      <c r="I7" s="1"/>
      <c r="J7" s="1"/>
    </row>
    <row r="8" spans="2:10 16377:16381" x14ac:dyDescent="0.25">
      <c r="B8" s="13" t="s">
        <v>26</v>
      </c>
      <c r="C8" s="14">
        <v>300</v>
      </c>
      <c r="D8" s="14">
        <f t="shared" ref="D8:D11" si="0">(C8*$H$6)+C8</f>
        <v>300</v>
      </c>
      <c r="E8" s="1"/>
      <c r="F8" s="1"/>
      <c r="G8" s="1"/>
      <c r="H8" s="1"/>
      <c r="I8" s="1"/>
      <c r="J8" s="1"/>
    </row>
    <row r="9" spans="2:10 16377:16381" x14ac:dyDescent="0.25">
      <c r="B9" s="13" t="s">
        <v>27</v>
      </c>
      <c r="C9" s="14">
        <v>240</v>
      </c>
      <c r="D9" s="14">
        <f t="shared" si="0"/>
        <v>240</v>
      </c>
      <c r="E9" s="1"/>
      <c r="F9" s="1"/>
      <c r="G9" s="1"/>
      <c r="H9" s="1"/>
      <c r="I9" s="1"/>
      <c r="J9" s="1"/>
    </row>
    <row r="10" spans="2:10 16377:16381" x14ac:dyDescent="0.25">
      <c r="B10" s="15" t="s">
        <v>28</v>
      </c>
      <c r="C10" s="14">
        <v>370</v>
      </c>
      <c r="D10" s="14">
        <f t="shared" si="0"/>
        <v>370</v>
      </c>
      <c r="E10" s="1"/>
      <c r="F10" s="1"/>
      <c r="G10" s="1"/>
      <c r="H10" s="1"/>
      <c r="I10" s="1"/>
      <c r="J10" s="1"/>
    </row>
    <row r="11" spans="2:10 16377:16381" x14ac:dyDescent="0.25">
      <c r="B11" s="15" t="s">
        <v>29</v>
      </c>
      <c r="C11" s="14">
        <v>220</v>
      </c>
      <c r="D11" s="14">
        <f t="shared" si="0"/>
        <v>220</v>
      </c>
      <c r="E11" s="1"/>
      <c r="F11" s="1"/>
      <c r="G11" s="1"/>
      <c r="H11" s="1"/>
      <c r="I11" s="1"/>
      <c r="J11" s="1"/>
    </row>
    <row r="12" spans="2:10 16377:16381" x14ac:dyDescent="0.25">
      <c r="B12" s="16"/>
      <c r="C12" s="16"/>
      <c r="D12" s="17"/>
      <c r="E12" s="1"/>
      <c r="F12" s="1"/>
      <c r="G12" s="1"/>
      <c r="H12" s="1"/>
      <c r="I12" s="1"/>
      <c r="J12" s="1"/>
    </row>
    <row r="13" spans="2:10 16377:16381" x14ac:dyDescent="0.25">
      <c r="D13" s="1"/>
      <c r="E13" s="1"/>
      <c r="F13" s="1"/>
      <c r="G13" s="1"/>
      <c r="H13" s="1"/>
      <c r="I13" s="1"/>
      <c r="J13" s="1"/>
    </row>
    <row r="14" spans="2:10 16377:16381" x14ac:dyDescent="0.25">
      <c r="B14" s="18" t="s">
        <v>30</v>
      </c>
      <c r="C14" s="18"/>
      <c r="D14" s="1"/>
      <c r="E14" s="1"/>
      <c r="F14" s="1"/>
      <c r="G14" s="1"/>
      <c r="H14" s="1"/>
      <c r="I14" s="1"/>
      <c r="J14" s="1"/>
    </row>
    <row r="15" spans="2:10 16377:16381" ht="30" x14ac:dyDescent="0.25">
      <c r="B15" s="12" t="s">
        <v>31</v>
      </c>
      <c r="C15" s="20" t="s">
        <v>32</v>
      </c>
      <c r="D15" s="20" t="s">
        <v>33</v>
      </c>
      <c r="E15" s="20" t="s">
        <v>34</v>
      </c>
      <c r="F15" s="24" t="s">
        <v>35</v>
      </c>
      <c r="G15" s="20" t="s">
        <v>36</v>
      </c>
      <c r="H15" s="20" t="s">
        <v>37</v>
      </c>
      <c r="I15" s="19" t="s">
        <v>38</v>
      </c>
      <c r="XEW15" s="20" t="s">
        <v>32</v>
      </c>
      <c r="XEX15" s="20" t="s">
        <v>33</v>
      </c>
      <c r="XEY15" s="20" t="s">
        <v>34</v>
      </c>
      <c r="XEZ15" s="24" t="s">
        <v>35</v>
      </c>
      <c r="XFA15" s="20" t="s">
        <v>36</v>
      </c>
    </row>
    <row r="16" spans="2:10 16377:16381" x14ac:dyDescent="0.25">
      <c r="B16" s="13" t="s">
        <v>39</v>
      </c>
      <c r="C16" s="21">
        <f>(XEW16*$H$6)+XEW16</f>
        <v>3500</v>
      </c>
      <c r="D16" s="21">
        <f t="shared" ref="D16:G16" si="1">(XEX16*$H$6)+XEX16</f>
        <v>2000</v>
      </c>
      <c r="E16" s="21">
        <f t="shared" si="1"/>
        <v>6500</v>
      </c>
      <c r="F16" s="21">
        <f t="shared" si="1"/>
        <v>8000</v>
      </c>
      <c r="G16" s="21">
        <f t="shared" si="1"/>
        <v>3000</v>
      </c>
      <c r="H16" s="21">
        <f>SUM(C16:G16)</f>
        <v>23000</v>
      </c>
      <c r="I16" s="22">
        <f>C16*$D$7+D16*$D$8+E16*$D$9+F16*$D$10+G16*$D$11</f>
        <v>6305000</v>
      </c>
      <c r="XEW16" s="21">
        <v>3500</v>
      </c>
      <c r="XEX16" s="21">
        <v>2000</v>
      </c>
      <c r="XEY16" s="21">
        <v>6500</v>
      </c>
      <c r="XEZ16" s="21">
        <v>8000</v>
      </c>
      <c r="XFA16" s="21">
        <v>3000</v>
      </c>
    </row>
    <row r="17" spans="2:9 16377:16381" x14ac:dyDescent="0.25">
      <c r="B17" s="13" t="s">
        <v>40</v>
      </c>
      <c r="C17" s="21">
        <f t="shared" ref="C17:C27" si="2">(XEW17*$H$6)+XEW17</f>
        <v>3517.5</v>
      </c>
      <c r="D17" s="21">
        <f t="shared" ref="D17:D27" si="3">(XEX17*$H$6)+XEX17</f>
        <v>2010</v>
      </c>
      <c r="E17" s="21">
        <f t="shared" ref="E17:E27" si="4">(XEY17*$H$6)+XEY17</f>
        <v>6532.5</v>
      </c>
      <c r="F17" s="21">
        <f t="shared" ref="F17:F27" si="5">(XEZ17*$H$6)+XEZ17</f>
        <v>8040</v>
      </c>
      <c r="G17" s="21">
        <f t="shared" ref="G17:G27" si="6">(XFA17*$H$6)+XFA17</f>
        <v>3015</v>
      </c>
      <c r="H17" s="21">
        <f t="shared" ref="H17:H27" si="7">SUM(C17:G17)</f>
        <v>23115</v>
      </c>
      <c r="I17" s="22">
        <f t="shared" ref="I17:I27" si="8">C17*$D$7+D17*$D$8+E17*$D$9+F17*$D$10+G17*$D$11</f>
        <v>6336525</v>
      </c>
      <c r="XEW17" s="21">
        <f>+XEW16*0.005+XEW16</f>
        <v>3517.5</v>
      </c>
      <c r="XEX17" s="21">
        <f>+XEX16*0.005+XEX16</f>
        <v>2010</v>
      </c>
      <c r="XEY17" s="21">
        <f t="shared" ref="XEY17:XFA27" si="9">+XEY16*0.005+XEY16</f>
        <v>6532.5</v>
      </c>
      <c r="XEZ17" s="21">
        <f t="shared" si="9"/>
        <v>8040</v>
      </c>
      <c r="XFA17" s="21">
        <f>+XFA16*0.005+XFA16</f>
        <v>3015</v>
      </c>
    </row>
    <row r="18" spans="2:9 16377:16381" x14ac:dyDescent="0.25">
      <c r="B18" s="13" t="s">
        <v>41</v>
      </c>
      <c r="C18" s="21">
        <f t="shared" si="2"/>
        <v>3535.0875000000001</v>
      </c>
      <c r="D18" s="21">
        <f t="shared" si="3"/>
        <v>2020.05</v>
      </c>
      <c r="E18" s="21">
        <f t="shared" si="4"/>
        <v>6565.1625000000004</v>
      </c>
      <c r="F18" s="21">
        <f t="shared" si="5"/>
        <v>8080.2</v>
      </c>
      <c r="G18" s="21">
        <f t="shared" si="6"/>
        <v>3030.0749999999998</v>
      </c>
      <c r="H18" s="21">
        <f t="shared" si="7"/>
        <v>23230.575000000001</v>
      </c>
      <c r="I18" s="22">
        <f>C18*$D$7+D18*$D$8+E18*$D$9+F18*$D$10+G18*$D$11</f>
        <v>6368207.625</v>
      </c>
      <c r="XEW18" s="21">
        <f t="shared" ref="XEW18:XEW27" si="10">+XEW17*0.005+XEW17</f>
        <v>3535.0875000000001</v>
      </c>
      <c r="XEX18" s="21">
        <f t="shared" ref="XEX18:XEX27" si="11">+XEX17*0.005+XEX17</f>
        <v>2020.05</v>
      </c>
      <c r="XEY18" s="21">
        <f t="shared" si="9"/>
        <v>6565.1625000000004</v>
      </c>
      <c r="XEZ18" s="21">
        <f t="shared" si="9"/>
        <v>8080.2</v>
      </c>
      <c r="XFA18" s="21">
        <f t="shared" si="9"/>
        <v>3030.0749999999998</v>
      </c>
    </row>
    <row r="19" spans="2:9 16377:16381" x14ac:dyDescent="0.25">
      <c r="B19" s="13" t="s">
        <v>42</v>
      </c>
      <c r="C19" s="21">
        <f t="shared" si="2"/>
        <v>3552.7629375000001</v>
      </c>
      <c r="D19" s="21">
        <f t="shared" si="3"/>
        <v>2030.1502499999999</v>
      </c>
      <c r="E19" s="21">
        <f t="shared" si="4"/>
        <v>6597.9883125000006</v>
      </c>
      <c r="F19" s="21">
        <f t="shared" si="5"/>
        <v>8120.6009999999997</v>
      </c>
      <c r="G19" s="21">
        <f t="shared" si="6"/>
        <v>3045.225375</v>
      </c>
      <c r="H19" s="21">
        <f t="shared" si="7"/>
        <v>23346.727874999997</v>
      </c>
      <c r="I19" s="22">
        <f t="shared" si="8"/>
        <v>6400048.663124999</v>
      </c>
      <c r="XEW19" s="21">
        <f t="shared" si="10"/>
        <v>3552.7629375000001</v>
      </c>
      <c r="XEX19" s="21">
        <f t="shared" si="11"/>
        <v>2030.1502499999999</v>
      </c>
      <c r="XEY19" s="21">
        <f t="shared" si="9"/>
        <v>6597.9883125000006</v>
      </c>
      <c r="XEZ19" s="21">
        <f t="shared" si="9"/>
        <v>8120.6009999999997</v>
      </c>
      <c r="XFA19" s="21">
        <f t="shared" si="9"/>
        <v>3045.225375</v>
      </c>
    </row>
    <row r="20" spans="2:9 16377:16381" x14ac:dyDescent="0.25">
      <c r="B20" s="13" t="s">
        <v>43</v>
      </c>
      <c r="C20" s="21">
        <f t="shared" si="2"/>
        <v>3570.5267521875003</v>
      </c>
      <c r="D20" s="21">
        <f t="shared" si="3"/>
        <v>2040.3010012499999</v>
      </c>
      <c r="E20" s="21">
        <f t="shared" si="4"/>
        <v>6630.9782540625001</v>
      </c>
      <c r="F20" s="21">
        <f t="shared" si="5"/>
        <v>8161.2040049999996</v>
      </c>
      <c r="G20" s="21">
        <f t="shared" si="6"/>
        <v>3060.4515018749998</v>
      </c>
      <c r="H20" s="21">
        <f t="shared" si="7"/>
        <v>23463.461514374998</v>
      </c>
      <c r="I20" s="22">
        <f t="shared" si="8"/>
        <v>6432048.906440625</v>
      </c>
      <c r="XEW20" s="21">
        <f t="shared" si="10"/>
        <v>3570.5267521875003</v>
      </c>
      <c r="XEX20" s="21">
        <f t="shared" si="11"/>
        <v>2040.3010012499999</v>
      </c>
      <c r="XEY20" s="21">
        <f t="shared" si="9"/>
        <v>6630.9782540625001</v>
      </c>
      <c r="XEZ20" s="21">
        <f t="shared" si="9"/>
        <v>8161.2040049999996</v>
      </c>
      <c r="XFA20" s="21">
        <f t="shared" si="9"/>
        <v>3060.4515018749998</v>
      </c>
    </row>
    <row r="21" spans="2:9 16377:16381" x14ac:dyDescent="0.25">
      <c r="B21" s="13" t="s">
        <v>44</v>
      </c>
      <c r="C21" s="21">
        <f t="shared" si="2"/>
        <v>3588.3793859484376</v>
      </c>
      <c r="D21" s="21">
        <f t="shared" si="3"/>
        <v>2050.5025062562499</v>
      </c>
      <c r="E21" s="21">
        <f t="shared" si="4"/>
        <v>6664.133145332813</v>
      </c>
      <c r="F21" s="21">
        <f t="shared" si="5"/>
        <v>8202.0100250249998</v>
      </c>
      <c r="G21" s="21">
        <f t="shared" si="6"/>
        <v>3075.7537593843749</v>
      </c>
      <c r="H21" s="21">
        <f t="shared" si="7"/>
        <v>23580.778821946875</v>
      </c>
      <c r="I21" s="22">
        <f t="shared" si="8"/>
        <v>6464209.1509728283</v>
      </c>
      <c r="XEW21" s="21">
        <f t="shared" si="10"/>
        <v>3588.3793859484376</v>
      </c>
      <c r="XEX21" s="21">
        <f t="shared" si="11"/>
        <v>2050.5025062562499</v>
      </c>
      <c r="XEY21" s="21">
        <f t="shared" si="9"/>
        <v>6664.133145332813</v>
      </c>
      <c r="XEZ21" s="21">
        <f t="shared" si="9"/>
        <v>8202.0100250249998</v>
      </c>
      <c r="XFA21" s="21">
        <f t="shared" si="9"/>
        <v>3075.7537593843749</v>
      </c>
    </row>
    <row r="22" spans="2:9 16377:16381" x14ac:dyDescent="0.25">
      <c r="B22" s="13" t="s">
        <v>45</v>
      </c>
      <c r="C22" s="21">
        <f t="shared" si="2"/>
        <v>3606.3212828781798</v>
      </c>
      <c r="D22" s="21">
        <f t="shared" si="3"/>
        <v>2060.7550187875313</v>
      </c>
      <c r="E22" s="21">
        <f t="shared" si="4"/>
        <v>6697.4538110594767</v>
      </c>
      <c r="F22" s="21">
        <f t="shared" si="5"/>
        <v>8243.0200751501252</v>
      </c>
      <c r="G22" s="21">
        <f t="shared" si="6"/>
        <v>3091.1325281812969</v>
      </c>
      <c r="H22" s="21">
        <f t="shared" si="7"/>
        <v>23698.68271605661</v>
      </c>
      <c r="I22" s="22">
        <f t="shared" si="8"/>
        <v>6496530.1967276931</v>
      </c>
      <c r="XEW22" s="21">
        <f t="shared" si="10"/>
        <v>3606.3212828781798</v>
      </c>
      <c r="XEX22" s="21">
        <f t="shared" si="11"/>
        <v>2060.7550187875313</v>
      </c>
      <c r="XEY22" s="21">
        <f t="shared" si="9"/>
        <v>6697.4538110594767</v>
      </c>
      <c r="XEZ22" s="21">
        <f t="shared" si="9"/>
        <v>8243.0200751501252</v>
      </c>
      <c r="XFA22" s="21">
        <f t="shared" si="9"/>
        <v>3091.1325281812969</v>
      </c>
    </row>
    <row r="23" spans="2:9 16377:16381" x14ac:dyDescent="0.25">
      <c r="B23" s="13" t="s">
        <v>46</v>
      </c>
      <c r="C23" s="21">
        <f t="shared" si="2"/>
        <v>3624.3528892925706</v>
      </c>
      <c r="D23" s="21">
        <f t="shared" si="3"/>
        <v>2071.0587938814688</v>
      </c>
      <c r="E23" s="21">
        <f t="shared" si="4"/>
        <v>6730.9410801147742</v>
      </c>
      <c r="F23" s="21">
        <f t="shared" si="5"/>
        <v>8284.2351755258751</v>
      </c>
      <c r="G23" s="21">
        <f t="shared" si="6"/>
        <v>3106.5881908222036</v>
      </c>
      <c r="H23" s="21">
        <f t="shared" si="7"/>
        <v>23817.176129636893</v>
      </c>
      <c r="I23" s="22">
        <f t="shared" si="8"/>
        <v>6529012.8477113303</v>
      </c>
      <c r="XEW23" s="21">
        <f t="shared" si="10"/>
        <v>3624.3528892925706</v>
      </c>
      <c r="XEX23" s="21">
        <f t="shared" si="11"/>
        <v>2071.0587938814688</v>
      </c>
      <c r="XEY23" s="21">
        <f t="shared" si="9"/>
        <v>6730.9410801147742</v>
      </c>
      <c r="XEZ23" s="21">
        <f t="shared" si="9"/>
        <v>8284.2351755258751</v>
      </c>
      <c r="XFA23" s="21">
        <f t="shared" si="9"/>
        <v>3106.5881908222036</v>
      </c>
    </row>
    <row r="24" spans="2:9 16377:16381" x14ac:dyDescent="0.25">
      <c r="B24" s="13" t="s">
        <v>47</v>
      </c>
      <c r="C24" s="21">
        <f t="shared" si="2"/>
        <v>3642.4746537390333</v>
      </c>
      <c r="D24" s="21">
        <f t="shared" si="3"/>
        <v>2081.4140878508761</v>
      </c>
      <c r="E24" s="21">
        <f t="shared" si="4"/>
        <v>6764.5957855153483</v>
      </c>
      <c r="F24" s="21">
        <f t="shared" si="5"/>
        <v>8325.6563514035042</v>
      </c>
      <c r="G24" s="21">
        <f t="shared" si="6"/>
        <v>3122.1211317763145</v>
      </c>
      <c r="H24" s="21">
        <f t="shared" si="7"/>
        <v>23936.262010285078</v>
      </c>
      <c r="I24" s="22">
        <f t="shared" si="8"/>
        <v>6561657.9119498879</v>
      </c>
      <c r="XEW24" s="21">
        <f t="shared" si="10"/>
        <v>3642.4746537390333</v>
      </c>
      <c r="XEX24" s="21">
        <f t="shared" si="11"/>
        <v>2081.4140878508761</v>
      </c>
      <c r="XEY24" s="21">
        <f t="shared" si="9"/>
        <v>6764.5957855153483</v>
      </c>
      <c r="XEZ24" s="21">
        <f t="shared" si="9"/>
        <v>8325.6563514035042</v>
      </c>
      <c r="XFA24" s="21">
        <f t="shared" si="9"/>
        <v>3122.1211317763145</v>
      </c>
    </row>
    <row r="25" spans="2:9 16377:16381" x14ac:dyDescent="0.25">
      <c r="B25" s="13" t="s">
        <v>48</v>
      </c>
      <c r="C25" s="21">
        <f t="shared" si="2"/>
        <v>3660.6870270077284</v>
      </c>
      <c r="D25" s="21">
        <f t="shared" si="3"/>
        <v>2091.8211582901304</v>
      </c>
      <c r="E25" s="21">
        <f t="shared" si="4"/>
        <v>6798.4187644429248</v>
      </c>
      <c r="F25" s="21">
        <f t="shared" si="5"/>
        <v>8367.2846331605215</v>
      </c>
      <c r="G25" s="21">
        <f t="shared" si="6"/>
        <v>3137.731737435196</v>
      </c>
      <c r="H25" s="21">
        <f t="shared" si="7"/>
        <v>24055.943320336501</v>
      </c>
      <c r="I25" s="22">
        <f t="shared" si="8"/>
        <v>6594466.2015096359</v>
      </c>
      <c r="XEW25" s="21">
        <f t="shared" si="10"/>
        <v>3660.6870270077284</v>
      </c>
      <c r="XEX25" s="21">
        <f t="shared" si="11"/>
        <v>2091.8211582901304</v>
      </c>
      <c r="XEY25" s="21">
        <f t="shared" si="9"/>
        <v>6798.4187644429248</v>
      </c>
      <c r="XEZ25" s="21">
        <f t="shared" si="9"/>
        <v>8367.2846331605215</v>
      </c>
      <c r="XFA25" s="21">
        <f t="shared" si="9"/>
        <v>3137.731737435196</v>
      </c>
    </row>
    <row r="26" spans="2:9 16377:16381" x14ac:dyDescent="0.25">
      <c r="B26" s="13" t="s">
        <v>49</v>
      </c>
      <c r="C26" s="21">
        <f t="shared" si="2"/>
        <v>3678.9904621427672</v>
      </c>
      <c r="D26" s="21">
        <f t="shared" si="3"/>
        <v>2102.2802640815812</v>
      </c>
      <c r="E26" s="21">
        <f t="shared" si="4"/>
        <v>6832.4108582651397</v>
      </c>
      <c r="F26" s="21">
        <f t="shared" si="5"/>
        <v>8409.1210563263248</v>
      </c>
      <c r="G26" s="21">
        <f t="shared" si="6"/>
        <v>3153.420396122372</v>
      </c>
      <c r="H26" s="21">
        <f t="shared" si="7"/>
        <v>24176.223036938183</v>
      </c>
      <c r="I26" s="22">
        <f t="shared" si="8"/>
        <v>6627438.5325171845</v>
      </c>
      <c r="XEW26" s="21">
        <f t="shared" si="10"/>
        <v>3678.9904621427672</v>
      </c>
      <c r="XEX26" s="21">
        <f t="shared" si="11"/>
        <v>2102.2802640815812</v>
      </c>
      <c r="XEY26" s="21">
        <f t="shared" si="9"/>
        <v>6832.4108582651397</v>
      </c>
      <c r="XEZ26" s="21">
        <f t="shared" si="9"/>
        <v>8409.1210563263248</v>
      </c>
      <c r="XFA26" s="21">
        <f t="shared" si="9"/>
        <v>3153.420396122372</v>
      </c>
    </row>
    <row r="27" spans="2:9 16377:16381" x14ac:dyDescent="0.25">
      <c r="B27" s="13" t="s">
        <v>50</v>
      </c>
      <c r="C27" s="21">
        <f t="shared" si="2"/>
        <v>3697.3854144534812</v>
      </c>
      <c r="D27" s="21">
        <f t="shared" si="3"/>
        <v>2112.7916654019891</v>
      </c>
      <c r="E27" s="21">
        <f t="shared" si="4"/>
        <v>6866.5729125564658</v>
      </c>
      <c r="F27" s="21">
        <f t="shared" si="5"/>
        <v>8451.1666616079565</v>
      </c>
      <c r="G27" s="21">
        <f t="shared" si="6"/>
        <v>3169.1874981029837</v>
      </c>
      <c r="H27" s="21">
        <f t="shared" si="7"/>
        <v>24297.104152122876</v>
      </c>
      <c r="I27" s="22">
        <f t="shared" si="8"/>
        <v>6660575.7251797719</v>
      </c>
      <c r="XEW27" s="21">
        <f t="shared" si="10"/>
        <v>3697.3854144534812</v>
      </c>
      <c r="XEX27" s="21">
        <f t="shared" si="11"/>
        <v>2112.7916654019891</v>
      </c>
      <c r="XEY27" s="21">
        <f t="shared" si="9"/>
        <v>6866.5729125564658</v>
      </c>
      <c r="XEZ27" s="21">
        <f t="shared" si="9"/>
        <v>8451.1666616079565</v>
      </c>
      <c r="XFA27" s="21">
        <f t="shared" si="9"/>
        <v>3169.1874981029837</v>
      </c>
    </row>
    <row r="28" spans="2:9 16377:16381" x14ac:dyDescent="0.25">
      <c r="B28" s="16"/>
      <c r="C28" s="17"/>
      <c r="D28" s="17"/>
      <c r="E28" s="17"/>
      <c r="F28" s="17"/>
      <c r="G28" s="1"/>
      <c r="H28" s="1"/>
      <c r="I28" s="23">
        <f>SUM(I16:I27)</f>
        <v>77775720.761133954</v>
      </c>
    </row>
  </sheetData>
  <mergeCells count="2">
    <mergeCell ref="B5:D5"/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showGridLines="0" zoomScale="90" zoomScaleNormal="90" workbookViewId="0">
      <selection activeCell="D18" sqref="D18"/>
    </sheetView>
  </sheetViews>
  <sheetFormatPr baseColWidth="10" defaultRowHeight="15" x14ac:dyDescent="0.25"/>
  <cols>
    <col min="1" max="1" width="6.7109375" customWidth="1"/>
    <col min="2" max="2" width="25" bestFit="1" customWidth="1"/>
    <col min="3" max="5" width="13.85546875" bestFit="1" customWidth="1"/>
    <col min="6" max="9" width="13.140625" bestFit="1" customWidth="1"/>
    <col min="10" max="14" width="12.28515625" customWidth="1"/>
    <col min="15" max="15" width="12.140625" bestFit="1" customWidth="1"/>
  </cols>
  <sheetData>
    <row r="2" spans="2:15" x14ac:dyDescent="0.25">
      <c r="D2" s="28" t="s">
        <v>51</v>
      </c>
      <c r="E2" s="28"/>
      <c r="F2" s="25">
        <f>VENTAS!H6</f>
        <v>0</v>
      </c>
    </row>
    <row r="4" spans="2:15" x14ac:dyDescent="0.25">
      <c r="B4" s="9" t="s">
        <v>11</v>
      </c>
      <c r="C4" s="1" t="s">
        <v>55</v>
      </c>
      <c r="D4" s="1" t="s">
        <v>40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 t="s">
        <v>61</v>
      </c>
      <c r="K4" s="1" t="s">
        <v>62</v>
      </c>
      <c r="L4" s="1" t="s">
        <v>63</v>
      </c>
      <c r="M4" s="1" t="s">
        <v>64</v>
      </c>
      <c r="N4" s="1" t="s">
        <v>65</v>
      </c>
      <c r="O4" s="3" t="s">
        <v>8</v>
      </c>
    </row>
    <row r="5" spans="2:15" x14ac:dyDescent="0.25">
      <c r="B5" s="5" t="s">
        <v>12</v>
      </c>
      <c r="C5" s="4">
        <v>1041725</v>
      </c>
      <c r="D5" s="4">
        <v>1041725</v>
      </c>
      <c r="E5" s="4">
        <v>1041725</v>
      </c>
      <c r="F5" s="4">
        <v>1041725</v>
      </c>
      <c r="G5" s="4">
        <v>1041725</v>
      </c>
      <c r="H5" s="4">
        <v>1041725</v>
      </c>
      <c r="I5" s="4">
        <v>1041725</v>
      </c>
      <c r="J5" s="4">
        <v>1041725</v>
      </c>
      <c r="K5" s="4">
        <v>1041725</v>
      </c>
      <c r="L5" s="4">
        <v>1041725</v>
      </c>
      <c r="M5" s="4">
        <v>1041725</v>
      </c>
      <c r="N5" s="4">
        <v>1041725</v>
      </c>
      <c r="O5" s="7">
        <f>SUM(C5:N5)</f>
        <v>12500700</v>
      </c>
    </row>
    <row r="6" spans="2:15" x14ac:dyDescent="0.25">
      <c r="B6" s="5" t="s">
        <v>13</v>
      </c>
      <c r="C6" s="4">
        <v>500000</v>
      </c>
      <c r="D6" s="4">
        <f>+C6*0.05+C6</f>
        <v>525000</v>
      </c>
      <c r="E6" s="4">
        <f t="shared" ref="E6:N6" si="0">+D6*0.05+D6</f>
        <v>551250</v>
      </c>
      <c r="F6" s="4">
        <f t="shared" si="0"/>
        <v>578812.5</v>
      </c>
      <c r="G6" s="4">
        <f t="shared" si="0"/>
        <v>607753.125</v>
      </c>
      <c r="H6" s="4">
        <f t="shared" si="0"/>
        <v>638140.78125</v>
      </c>
      <c r="I6" s="4">
        <f t="shared" si="0"/>
        <v>670047.8203125</v>
      </c>
      <c r="J6" s="4">
        <f t="shared" si="0"/>
        <v>703550.21132812498</v>
      </c>
      <c r="K6" s="4">
        <f t="shared" si="0"/>
        <v>738727.72189453128</v>
      </c>
      <c r="L6" s="4">
        <f t="shared" si="0"/>
        <v>775664.1079892579</v>
      </c>
      <c r="M6" s="4">
        <f t="shared" si="0"/>
        <v>814447.31338872085</v>
      </c>
      <c r="N6" s="4">
        <f t="shared" si="0"/>
        <v>855169.67905815691</v>
      </c>
      <c r="O6" s="7">
        <f t="shared" ref="O6:O9" si="1">SUM(C6:N6)</f>
        <v>7958563.2602212923</v>
      </c>
    </row>
    <row r="7" spans="2:15" x14ac:dyDescent="0.25">
      <c r="B7" s="5" t="s">
        <v>14</v>
      </c>
      <c r="C7" s="4">
        <v>1050000</v>
      </c>
      <c r="D7" s="4">
        <f t="shared" ref="D7:N7" si="2">+C7*0.05+C7</f>
        <v>1102500</v>
      </c>
      <c r="E7" s="4">
        <f t="shared" si="2"/>
        <v>1157625</v>
      </c>
      <c r="F7" s="4">
        <f t="shared" si="2"/>
        <v>1215506.25</v>
      </c>
      <c r="G7" s="4">
        <f t="shared" si="2"/>
        <v>1276281.5625</v>
      </c>
      <c r="H7" s="4">
        <f t="shared" si="2"/>
        <v>1340095.640625</v>
      </c>
      <c r="I7" s="4">
        <f t="shared" si="2"/>
        <v>1407100.42265625</v>
      </c>
      <c r="J7" s="4">
        <f t="shared" si="2"/>
        <v>1477455.4437890626</v>
      </c>
      <c r="K7" s="4">
        <f t="shared" si="2"/>
        <v>1551328.2159785158</v>
      </c>
      <c r="L7" s="4">
        <f t="shared" si="2"/>
        <v>1628894.6267774417</v>
      </c>
      <c r="M7" s="4">
        <f t="shared" si="2"/>
        <v>1710339.3581163138</v>
      </c>
      <c r="N7" s="4">
        <f t="shared" si="2"/>
        <v>1795856.3260221295</v>
      </c>
      <c r="O7" s="7">
        <f t="shared" si="1"/>
        <v>16712982.846464714</v>
      </c>
    </row>
    <row r="8" spans="2:15" x14ac:dyDescent="0.25">
      <c r="B8" s="5" t="s">
        <v>15</v>
      </c>
      <c r="C8" s="4">
        <v>600000</v>
      </c>
      <c r="D8" s="4">
        <v>600000</v>
      </c>
      <c r="E8" s="4">
        <v>600000</v>
      </c>
      <c r="F8" s="4">
        <v>600000</v>
      </c>
      <c r="G8" s="4">
        <v>600000</v>
      </c>
      <c r="H8" s="4">
        <v>600000</v>
      </c>
      <c r="I8" s="4">
        <v>600000</v>
      </c>
      <c r="J8" s="4">
        <v>600000</v>
      </c>
      <c r="K8" s="4">
        <v>600000</v>
      </c>
      <c r="L8" s="4">
        <v>600000</v>
      </c>
      <c r="M8" s="4">
        <v>600000</v>
      </c>
      <c r="N8" s="4">
        <v>600000</v>
      </c>
      <c r="O8" s="7">
        <f t="shared" si="1"/>
        <v>7200000</v>
      </c>
    </row>
    <row r="9" spans="2:15" x14ac:dyDescent="0.25">
      <c r="B9" s="5" t="s">
        <v>16</v>
      </c>
      <c r="C9" s="4">
        <v>350000</v>
      </c>
      <c r="D9" s="4">
        <f t="shared" ref="D9:N9" si="3">+C9*0.05+C9</f>
        <v>367500</v>
      </c>
      <c r="E9" s="4">
        <f t="shared" si="3"/>
        <v>385875</v>
      </c>
      <c r="F9" s="4">
        <f t="shared" si="3"/>
        <v>405168.75</v>
      </c>
      <c r="G9" s="4">
        <f t="shared" si="3"/>
        <v>425427.1875</v>
      </c>
      <c r="H9" s="4">
        <f t="shared" si="3"/>
        <v>446698.546875</v>
      </c>
      <c r="I9" s="4">
        <f t="shared" si="3"/>
        <v>469033.47421875002</v>
      </c>
      <c r="J9" s="4">
        <f t="shared" si="3"/>
        <v>492485.14792968752</v>
      </c>
      <c r="K9" s="4">
        <f t="shared" si="3"/>
        <v>517109.40532617189</v>
      </c>
      <c r="L9" s="4">
        <f t="shared" si="3"/>
        <v>542964.87559248053</v>
      </c>
      <c r="M9" s="4">
        <f t="shared" si="3"/>
        <v>570113.11937210453</v>
      </c>
      <c r="N9" s="4">
        <f t="shared" si="3"/>
        <v>598618.77534070972</v>
      </c>
      <c r="O9" s="7">
        <f t="shared" si="1"/>
        <v>5570994.2821549037</v>
      </c>
    </row>
    <row r="10" spans="2:15" x14ac:dyDescent="0.25">
      <c r="B10" s="5" t="s">
        <v>17</v>
      </c>
      <c r="C10" s="4">
        <v>800000</v>
      </c>
      <c r="D10" s="4">
        <f t="shared" ref="D10:N10" si="4">+C10*0.05+C10</f>
        <v>840000</v>
      </c>
      <c r="E10" s="4">
        <f t="shared" si="4"/>
        <v>882000</v>
      </c>
      <c r="F10" s="4">
        <f t="shared" si="4"/>
        <v>926100</v>
      </c>
      <c r="G10" s="4">
        <f t="shared" si="4"/>
        <v>972405</v>
      </c>
      <c r="H10" s="4">
        <f t="shared" si="4"/>
        <v>1021025.25</v>
      </c>
      <c r="I10" s="4">
        <f t="shared" si="4"/>
        <v>1072076.5125</v>
      </c>
      <c r="J10" s="4">
        <f t="shared" si="4"/>
        <v>1125680.338125</v>
      </c>
      <c r="K10" s="4">
        <f t="shared" si="4"/>
        <v>1181964.35503125</v>
      </c>
      <c r="L10" s="4">
        <f t="shared" si="4"/>
        <v>1241062.5727828126</v>
      </c>
      <c r="M10" s="4">
        <f t="shared" si="4"/>
        <v>1303115.7014219533</v>
      </c>
      <c r="N10" s="4">
        <f t="shared" si="4"/>
        <v>1368271.4864930511</v>
      </c>
      <c r="O10" s="7">
        <f>SUM(C10:N10)</f>
        <v>12733701.216354067</v>
      </c>
    </row>
    <row r="11" spans="2:15" x14ac:dyDescent="0.25">
      <c r="C11" s="7">
        <f>SUM(C5:C10)</f>
        <v>4341725</v>
      </c>
      <c r="D11" s="7">
        <f t="shared" ref="D11:N11" si="5">SUM(D5:D10)</f>
        <v>4476725</v>
      </c>
      <c r="E11" s="7">
        <f t="shared" si="5"/>
        <v>4618475</v>
      </c>
      <c r="F11" s="7">
        <f t="shared" si="5"/>
        <v>4767312.5</v>
      </c>
      <c r="G11" s="7">
        <f t="shared" si="5"/>
        <v>4923591.875</v>
      </c>
      <c r="H11" s="7">
        <f t="shared" si="5"/>
        <v>5087685.21875</v>
      </c>
      <c r="I11" s="7">
        <f t="shared" si="5"/>
        <v>5259983.2296874998</v>
      </c>
      <c r="J11" s="7">
        <f t="shared" si="5"/>
        <v>5440896.1411718745</v>
      </c>
      <c r="K11" s="7">
        <f t="shared" si="5"/>
        <v>5630854.6982304687</v>
      </c>
      <c r="L11" s="7">
        <f t="shared" si="5"/>
        <v>5830311.1831419924</v>
      </c>
      <c r="M11" s="7">
        <f t="shared" si="5"/>
        <v>6039740.4922990929</v>
      </c>
      <c r="N11" s="7">
        <f t="shared" si="5"/>
        <v>6259641.2669140473</v>
      </c>
    </row>
  </sheetData>
  <mergeCells count="1"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9"/>
  <sheetViews>
    <sheetView workbookViewId="0">
      <selection activeCell="L5" sqref="L5"/>
    </sheetView>
  </sheetViews>
  <sheetFormatPr baseColWidth="10" defaultRowHeight="15" x14ac:dyDescent="0.25"/>
  <cols>
    <col min="17" max="17" width="4.140625" bestFit="1" customWidth="1"/>
    <col min="18" max="18" width="14.140625" style="42" bestFit="1" customWidth="1"/>
    <col min="19" max="22" width="13.140625" style="42" bestFit="1" customWidth="1"/>
  </cols>
  <sheetData>
    <row r="3" spans="2:22" x14ac:dyDescent="0.25">
      <c r="B3" s="35" t="s">
        <v>66</v>
      </c>
      <c r="C3" s="35" t="s">
        <v>67</v>
      </c>
      <c r="D3" s="35" t="s">
        <v>68</v>
      </c>
      <c r="E3" s="35" t="s">
        <v>69</v>
      </c>
      <c r="F3" s="36" t="s">
        <v>70</v>
      </c>
      <c r="G3" s="36"/>
      <c r="H3" s="36"/>
      <c r="I3" s="36"/>
      <c r="J3" s="36"/>
    </row>
    <row r="4" spans="2:22" x14ac:dyDescent="0.25">
      <c r="B4" s="35"/>
      <c r="C4" s="35"/>
      <c r="D4" s="35"/>
      <c r="E4" s="35"/>
      <c r="F4" s="37">
        <v>0.05</v>
      </c>
      <c r="G4" s="37">
        <v>0.1</v>
      </c>
      <c r="H4" s="37">
        <v>0.2</v>
      </c>
      <c r="I4" s="37">
        <v>0.25</v>
      </c>
      <c r="J4" s="38">
        <v>0.28489999999999999</v>
      </c>
      <c r="Q4" s="35" t="s">
        <v>66</v>
      </c>
      <c r="R4" s="43">
        <v>0.05</v>
      </c>
      <c r="S4" s="43">
        <v>0.1</v>
      </c>
      <c r="T4" s="43">
        <v>0.2</v>
      </c>
      <c r="U4" s="43">
        <v>0.25</v>
      </c>
      <c r="V4" s="43">
        <v>0.28489999999999999</v>
      </c>
    </row>
    <row r="5" spans="2:22" x14ac:dyDescent="0.25">
      <c r="B5" s="31">
        <v>0</v>
      </c>
      <c r="C5" s="31">
        <v>0</v>
      </c>
      <c r="D5" s="32">
        <v>600000</v>
      </c>
      <c r="E5" s="32">
        <v>-600000</v>
      </c>
      <c r="F5" s="32">
        <v>-600000</v>
      </c>
      <c r="G5" s="32">
        <v>-600000</v>
      </c>
      <c r="H5" s="32">
        <v>-600000</v>
      </c>
      <c r="I5" s="32">
        <v>-600000</v>
      </c>
      <c r="J5" s="33">
        <v>-600000</v>
      </c>
      <c r="Q5" s="35"/>
      <c r="R5" s="43"/>
      <c r="S5" s="43"/>
      <c r="T5" s="43"/>
      <c r="U5" s="43"/>
      <c r="V5" s="43"/>
    </row>
    <row r="6" spans="2:22" x14ac:dyDescent="0.25">
      <c r="B6" s="31">
        <v>1</v>
      </c>
      <c r="C6" s="32">
        <f>SUM('Flujo de caja'!C12:F12)</f>
        <v>91362723.004553914</v>
      </c>
      <c r="D6" s="32">
        <f>SUM('Flujo de caja'!C23:F23)</f>
        <v>60528530.803296059</v>
      </c>
      <c r="E6" s="32">
        <f>C6-D6</f>
        <v>30834192.201257855</v>
      </c>
      <c r="F6" s="32">
        <f>E6-(E6*0.05)</f>
        <v>29292482.591194961</v>
      </c>
      <c r="G6" s="32">
        <f>E6-(E6*0.1)</f>
        <v>27750772.981132068</v>
      </c>
      <c r="H6" s="32">
        <f>E6-(E6*0.2)</f>
        <v>24667353.761006285</v>
      </c>
      <c r="I6" s="32">
        <f>E6-(E6*0.25)</f>
        <v>23125644.150943391</v>
      </c>
      <c r="J6" s="32">
        <f>E6-(E6*0.2849)</f>
        <v>22049530.843119495</v>
      </c>
      <c r="Q6" s="41">
        <v>1</v>
      </c>
      <c r="R6" s="10">
        <v>29292482.591194961</v>
      </c>
      <c r="S6" s="10">
        <v>27750772.981132068</v>
      </c>
      <c r="T6" s="10">
        <v>24667353.761006285</v>
      </c>
      <c r="U6" s="10">
        <v>23125644.150943391</v>
      </c>
      <c r="V6" s="10">
        <v>22049530.843119495</v>
      </c>
    </row>
    <row r="7" spans="2:22" x14ac:dyDescent="0.25">
      <c r="B7" s="31">
        <v>2</v>
      </c>
      <c r="C7" s="32">
        <v>91362723.004553914</v>
      </c>
      <c r="D7" s="32">
        <v>60528530.803296059</v>
      </c>
      <c r="E7" s="32">
        <f t="shared" ref="E7:E9" si="0">C7-D7</f>
        <v>30834192.201257855</v>
      </c>
      <c r="F7" s="32">
        <f>F6-(F6*0.05)</f>
        <v>27827858.461635213</v>
      </c>
      <c r="G7" s="32">
        <f>G6-(G6*0.1)</f>
        <v>24975695.683018859</v>
      </c>
      <c r="H7" s="32">
        <f>H6-(H6*0.2)</f>
        <v>19733883.008805029</v>
      </c>
      <c r="I7" s="32">
        <f>I6-(I6*0.25)</f>
        <v>17344233.113207541</v>
      </c>
      <c r="J7" s="32">
        <f>J6-(J6*0.2849)</f>
        <v>15767619.505914751</v>
      </c>
      <c r="Q7" s="41">
        <v>2</v>
      </c>
      <c r="R7" s="10">
        <v>27827858.461635213</v>
      </c>
      <c r="S7" s="10">
        <v>24975695.683018859</v>
      </c>
      <c r="T7" s="10">
        <v>19733883.008805029</v>
      </c>
      <c r="U7" s="10">
        <v>17344233.113207541</v>
      </c>
      <c r="V7" s="10">
        <v>15767619.505914751</v>
      </c>
    </row>
    <row r="8" spans="2:22" x14ac:dyDescent="0.25">
      <c r="B8" s="31">
        <v>3</v>
      </c>
      <c r="C8" s="32">
        <v>91362723.004553914</v>
      </c>
      <c r="D8" s="32">
        <v>60528530.803296059</v>
      </c>
      <c r="E8" s="32">
        <f t="shared" si="0"/>
        <v>30834192.201257855</v>
      </c>
      <c r="F8" s="32">
        <f t="shared" ref="F8:F9" si="1">F7-(F7*0.05)</f>
        <v>26436465.538553454</v>
      </c>
      <c r="G8" s="32">
        <f>G7-(G7*0.1)</f>
        <v>22478126.114716973</v>
      </c>
      <c r="H8" s="32">
        <f t="shared" ref="H8:H9" si="2">H7-(H7*0.2)</f>
        <v>15787106.407044023</v>
      </c>
      <c r="I8" s="32">
        <f t="shared" ref="I8:I9" si="3">I7-(I7*0.25)</f>
        <v>13008174.834905656</v>
      </c>
      <c r="J8" s="32">
        <f t="shared" ref="J8:J9" si="4">J7-(J7*0.2849)</f>
        <v>11275424.708679639</v>
      </c>
      <c r="Q8" s="41">
        <v>3</v>
      </c>
      <c r="R8" s="10">
        <v>26436465.538553454</v>
      </c>
      <c r="S8" s="10">
        <v>22478126.114716973</v>
      </c>
      <c r="T8" s="10">
        <v>15787106.407044023</v>
      </c>
      <c r="U8" s="10">
        <v>13008174.834905656</v>
      </c>
      <c r="V8" s="10">
        <v>11275424.708679639</v>
      </c>
    </row>
    <row r="9" spans="2:22" x14ac:dyDescent="0.25">
      <c r="B9" s="31">
        <v>4</v>
      </c>
      <c r="C9" s="32">
        <v>91362723.004553914</v>
      </c>
      <c r="D9" s="32">
        <v>60528530.803296059</v>
      </c>
      <c r="E9" s="32">
        <f t="shared" si="0"/>
        <v>30834192.201257855</v>
      </c>
      <c r="F9" s="32">
        <f t="shared" si="1"/>
        <v>25114642.261625782</v>
      </c>
      <c r="G9" s="32">
        <f>G8-(G8*0.1)</f>
        <v>20230313.503245275</v>
      </c>
      <c r="H9" s="32">
        <f t="shared" si="2"/>
        <v>12629685.125635218</v>
      </c>
      <c r="I9" s="32">
        <f t="shared" si="3"/>
        <v>9756131.1261792425</v>
      </c>
      <c r="J9" s="32">
        <f t="shared" si="4"/>
        <v>8063056.2091768105</v>
      </c>
      <c r="Q9" s="41">
        <v>4</v>
      </c>
      <c r="R9" s="10">
        <v>25114642.261625782</v>
      </c>
      <c r="S9" s="10">
        <v>20230313.503245275</v>
      </c>
      <c r="T9" s="10">
        <v>12629685.125635218</v>
      </c>
      <c r="U9" s="10">
        <v>9756131.1261792425</v>
      </c>
      <c r="V9" s="10">
        <v>8063056.2091768105</v>
      </c>
    </row>
    <row r="10" spans="2:22" x14ac:dyDescent="0.25">
      <c r="B10" s="34" t="s">
        <v>71</v>
      </c>
      <c r="C10" s="34"/>
      <c r="D10" s="34"/>
      <c r="E10" s="34"/>
      <c r="F10" s="33">
        <f>F5+F6+F7+F8+F9</f>
        <v>108071448.85300942</v>
      </c>
      <c r="G10" s="33">
        <f t="shared" ref="G10:J10" si="5">G5+G6+G7+G8+G9</f>
        <v>94834908.28211318</v>
      </c>
      <c r="H10" s="33">
        <f t="shared" si="5"/>
        <v>72218028.302490562</v>
      </c>
      <c r="I10" s="33">
        <f t="shared" si="5"/>
        <v>62634183.225235827</v>
      </c>
      <c r="J10" s="33">
        <f t="shared" si="5"/>
        <v>56555631.266890697</v>
      </c>
    </row>
    <row r="13" spans="2:22" x14ac:dyDescent="0.25">
      <c r="D13" s="39">
        <v>91362723.004553914</v>
      </c>
      <c r="E13" s="39"/>
    </row>
    <row r="14" spans="2:22" x14ac:dyDescent="0.25">
      <c r="D14" s="40">
        <f>-D6</f>
        <v>-60528530.803296059</v>
      </c>
      <c r="E14" s="29"/>
      <c r="F14" s="40">
        <f>-D8</f>
        <v>-60528530.803296059</v>
      </c>
      <c r="G14" s="29"/>
      <c r="H14" s="40">
        <f>-D9</f>
        <v>-60528530.803296059</v>
      </c>
      <c r="I14" s="29"/>
    </row>
    <row r="15" spans="2:22" x14ac:dyDescent="0.25">
      <c r="C15" s="29">
        <v>-600000</v>
      </c>
      <c r="D15" s="29"/>
      <c r="E15" s="40">
        <f>-D7</f>
        <v>-60528530.803296059</v>
      </c>
      <c r="F15" s="29"/>
      <c r="G15" s="40">
        <f>-D8</f>
        <v>-60528530.803296059</v>
      </c>
      <c r="H15" s="29"/>
    </row>
    <row r="19" spans="4:8" x14ac:dyDescent="0.25">
      <c r="D19">
        <v>0</v>
      </c>
      <c r="E19">
        <v>1</v>
      </c>
      <c r="F19">
        <v>2</v>
      </c>
      <c r="G19">
        <v>3</v>
      </c>
      <c r="H19">
        <v>4</v>
      </c>
    </row>
  </sheetData>
  <mergeCells count="19">
    <mergeCell ref="Q4:Q5"/>
    <mergeCell ref="R4:R5"/>
    <mergeCell ref="U4:U5"/>
    <mergeCell ref="T4:T5"/>
    <mergeCell ref="S4:S5"/>
    <mergeCell ref="V4:V5"/>
    <mergeCell ref="C15:D15"/>
    <mergeCell ref="D14:E14"/>
    <mergeCell ref="D13:E13"/>
    <mergeCell ref="E15:F15"/>
    <mergeCell ref="F14:G14"/>
    <mergeCell ref="G15:H15"/>
    <mergeCell ref="H14:I14"/>
    <mergeCell ref="B3:B4"/>
    <mergeCell ref="C3:C4"/>
    <mergeCell ref="D3:D4"/>
    <mergeCell ref="E3:E4"/>
    <mergeCell ref="F3:J3"/>
    <mergeCell ref="B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Flujo de caja</vt:lpstr>
      <vt:lpstr>VENTAS</vt:lpstr>
      <vt:lpstr>EGRESOS</vt:lpstr>
      <vt:lpstr>TIR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CORTES</dc:creator>
  <cp:lastModifiedBy>consuelo enciso</cp:lastModifiedBy>
  <dcterms:created xsi:type="dcterms:W3CDTF">2015-05-23T00:10:32Z</dcterms:created>
  <dcterms:modified xsi:type="dcterms:W3CDTF">2015-05-23T14:03:50Z</dcterms:modified>
</cp:coreProperties>
</file>